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https://bayware-my.sharepoint.com/personal/pedro_rivas_baywa-re_com/Documents/Documents/Novotegra/Dimensionador/"/>
    </mc:Choice>
  </mc:AlternateContent>
  <xr:revisionPtr revIDLastSave="379" documentId="8_{AAF4342C-163A-499F-A28B-7ECBD057BC85}" xr6:coauthVersionLast="47" xr6:coauthVersionMax="47" xr10:uidLastSave="{2F29947C-A000-4A9C-BB9D-67C850C33E17}"/>
  <workbookProtection workbookAlgorithmName="SHA-512" workbookHashValue="vkfZgD/mwcCoeFY4WoKCysej2wGdqboN6wox18sP08nffkxe4BUv6+miun44Az+blca47E6TmjZrXEkA4PD/Jg==" workbookSaltValue="Rh/2UKopWKGDmyTKADVCMA==" workbookSpinCount="100000" lockStructure="1"/>
  <bookViews>
    <workbookView xWindow="-110" yWindow="-110" windowWidth="19420" windowHeight="11500" tabRatio="805" firstSheet="1" activeTab="5" xr2:uid="{5332F370-AB5D-4114-922B-BB83809D3D5D}"/>
  </bookViews>
  <sheets>
    <sheet name="Manual de Usuario" sheetId="36" r:id="rId1"/>
    <sheet name="Datos de Proyecto" sheetId="1" r:id="rId2"/>
    <sheet name="Sistema Coplanar" sheetId="10" r:id="rId3"/>
    <sheet name="Sistema Una fila" sheetId="9" r:id="rId4"/>
    <sheet name="Sistema Dos filas" sheetId="4" r:id="rId5"/>
    <sheet name="Sistema S Rail" sheetId="11" r:id="rId6"/>
    <sheet name="Despiece Total" sheetId="21" r:id="rId7"/>
    <sheet name="Imagenes " sheetId="33" state="hidden" r:id="rId8"/>
    <sheet name="Análisis de costo" sheetId="32" state="hidden" r:id="rId9"/>
    <sheet name="Velocidades de viento" sheetId="2" state="hidden" r:id="rId10"/>
    <sheet name="Hoja de ingenieria 1 Fila" sheetId="19" state="hidden" r:id="rId11"/>
    <sheet name="Zona A" sheetId="24" state="hidden" r:id="rId12"/>
    <sheet name="Zona B" sheetId="25" state="hidden" r:id="rId13"/>
    <sheet name="Zona C" sheetId="26" state="hidden" r:id="rId14"/>
    <sheet name="Zona D" sheetId="31" state="hidden" r:id="rId15"/>
    <sheet name="Span 2 Filas" sheetId="43" state="hidden" r:id="rId16"/>
    <sheet name="Cuenta total" sheetId="23" state="hidden" r:id="rId17"/>
    <sheet name="Formula de apoyo" sheetId="18" state="hidden" r:id="rId18"/>
    <sheet name="Calculo de Span" sheetId="45" state="hidden" r:id="rId19"/>
  </sheets>
  <definedNames>
    <definedName name="_xlnm._FilterDatabase" localSheetId="9" hidden="1">'Velocidades de viento'!$C$1:$K$225</definedName>
    <definedName name="cnt">'Datos de Proyecto'!$C$11</definedName>
    <definedName name="Consulta">INDIRECT('Datos de Proyecto'!#REF!)</definedName>
    <definedName name="Dos_Filas">INDEX('Imagenes '!$B$5:$B$6,MATCH('Formula de apoyo'!$Y$12,'Imagenes '!$A$5:$A$6,0))</definedName>
    <definedName name="mail">'Datos de Proyecto'!$C$12</definedName>
    <definedName name="nm">'Datos de Proyecto'!$C$10</definedName>
    <definedName name="potencias">'Velocidades de viento'!$A$5:$A$76</definedName>
    <definedName name="_xlnm.Print_Area" localSheetId="6">'Despiece Total'!$A$2:$Z$53</definedName>
    <definedName name="_xlnm.Print_Area" localSheetId="2">'Sistema Coplanar'!$A$1:$AM$50</definedName>
    <definedName name="_xlnm.Print_Area" localSheetId="4">'Sistema Dos filas'!$A$1:$AR$50</definedName>
    <definedName name="_xlnm.Print_Area" localSheetId="5">'Sistema S Rail'!$A$1:$Y$51</definedName>
    <definedName name="_xlnm.Print_Area" localSheetId="3">'Sistema Una fila'!$A$1:$AR$50</definedName>
    <definedName name="Superficie_Inclinada">INDEX('Imagenes '!$B$7:$B$9,MATCH('Formula de apoyo'!$Y$14,'Imagenes '!$A$7:$A$9,0))</definedName>
    <definedName name="Tipos_de_techos">INDEX(#REF!,MATCH('Datos de Proyecto'!#REF!,#REF!,0))</definedName>
    <definedName name="Una_Fila">INDEX('Imagenes '!$B$2:$B$4,MATCH('Formula de apoyo'!$Y$10,'Imagenes '!$A$2:$A$4,0))</definedName>
    <definedName name="ZonaA">'Zona A'!$B$3</definedName>
    <definedName name="ZonaA1">'Zona A'!$B$3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21" l="1"/>
  <c r="W9" i="45"/>
  <c r="W20" i="45"/>
  <c r="W21" i="45"/>
  <c r="W22" i="45"/>
  <c r="W23" i="45"/>
  <c r="W24" i="45"/>
  <c r="W25" i="45"/>
  <c r="W26" i="45"/>
  <c r="W27" i="45"/>
  <c r="M46" i="4"/>
  <c r="M23" i="4"/>
  <c r="M45" i="9"/>
  <c r="M23" i="9"/>
  <c r="J46" i="10"/>
  <c r="J45" i="10"/>
  <c r="J21" i="10"/>
  <c r="J20" i="10"/>
  <c r="B31" i="21" l="1"/>
  <c r="B30" i="21" a="1"/>
  <c r="B30" i="21" s="1"/>
  <c r="A30" i="21" s="1" a="1"/>
  <c r="A30" i="21" s="1"/>
  <c r="B24" i="4" a="1"/>
  <c r="B24" i="4" s="1"/>
  <c r="A24" i="4" s="1" a="1"/>
  <c r="A24" i="4" s="1"/>
  <c r="B23" i="9" a="1"/>
  <c r="B23" i="9" s="1"/>
  <c r="A23" i="9" s="1" a="1"/>
  <c r="A23" i="9" s="1"/>
  <c r="M13" i="2" a="1"/>
  <c r="M13" i="2" s="1"/>
  <c r="M23" i="2" l="1"/>
  <c r="O37" i="45"/>
  <c r="O38" i="45"/>
  <c r="O39" i="45"/>
  <c r="O40" i="45"/>
  <c r="O41" i="45"/>
  <c r="O42" i="45"/>
  <c r="O43" i="45"/>
  <c r="O44" i="45"/>
  <c r="O45" i="45"/>
  <c r="O46" i="45"/>
  <c r="O47" i="45"/>
  <c r="O48" i="45"/>
  <c r="O49" i="45"/>
  <c r="O50" i="45"/>
  <c r="O51" i="45"/>
  <c r="O52" i="45"/>
  <c r="O53" i="45"/>
  <c r="O54" i="45"/>
  <c r="O55" i="45"/>
  <c r="O36" i="45"/>
  <c r="D8" i="11" l="1"/>
  <c r="G9" i="1"/>
  <c r="E41" i="4"/>
  <c r="E38" i="9"/>
  <c r="I7" i="1"/>
  <c r="M49" i="4"/>
  <c r="M48" i="4"/>
  <c r="M48" i="9"/>
  <c r="M47" i="9"/>
  <c r="E35" i="4" l="1"/>
  <c r="A33" i="21" l="1"/>
  <c r="B33" i="21" s="1"/>
  <c r="A32" i="21"/>
  <c r="B32" i="21" s="1"/>
  <c r="A31" i="21"/>
  <c r="B23" i="10"/>
  <c r="A23" i="10" s="1"/>
  <c r="B22" i="10"/>
  <c r="A22" i="10" s="1"/>
  <c r="C9" i="21"/>
  <c r="B24" i="9" a="1"/>
  <c r="B24" i="9" s="1"/>
  <c r="A18" i="10"/>
  <c r="A20" i="9"/>
  <c r="A21" i="4"/>
  <c r="A26" i="21"/>
  <c r="B26" i="21"/>
  <c r="B21" i="4"/>
  <c r="B20" i="9"/>
  <c r="B18" i="10"/>
  <c r="A20" i="11"/>
  <c r="A22" i="21" s="1"/>
  <c r="B20" i="11"/>
  <c r="B15" i="11" s="1"/>
  <c r="J21" i="11"/>
  <c r="J8" i="11"/>
  <c r="B20" i="1"/>
  <c r="B25" i="4" l="1" a="1"/>
  <c r="B25" i="4" s="1"/>
  <c r="A25" i="4" s="1"/>
  <c r="M22" i="9"/>
  <c r="B22" i="21"/>
  <c r="F30" i="18"/>
  <c r="F31" i="18"/>
  <c r="F32" i="18"/>
  <c r="F33" i="18"/>
  <c r="F34" i="18"/>
  <c r="F35" i="18"/>
  <c r="F36" i="18"/>
  <c r="F37" i="18"/>
  <c r="F38" i="18"/>
  <c r="F39" i="18"/>
  <c r="F40" i="18"/>
  <c r="F41" i="18"/>
  <c r="F42" i="18"/>
  <c r="F43" i="18"/>
  <c r="F44" i="18"/>
  <c r="F45" i="18"/>
  <c r="F46" i="18"/>
  <c r="F47" i="18"/>
  <c r="F48" i="18"/>
  <c r="F29" i="18"/>
  <c r="T49" i="18"/>
  <c r="R30" i="18"/>
  <c r="AF5" i="23" s="1"/>
  <c r="R31" i="18"/>
  <c r="AF6" i="23" s="1"/>
  <c r="R32" i="18"/>
  <c r="AF7" i="23" s="1"/>
  <c r="R33" i="18"/>
  <c r="AF8" i="23" s="1"/>
  <c r="R34" i="18"/>
  <c r="AF9" i="23" s="1"/>
  <c r="R35" i="18"/>
  <c r="AF10" i="23" s="1"/>
  <c r="R36" i="18"/>
  <c r="AF11" i="23" s="1"/>
  <c r="R37" i="18"/>
  <c r="AF12" i="23" s="1"/>
  <c r="R38" i="18"/>
  <c r="AF13" i="23" s="1"/>
  <c r="R39" i="18"/>
  <c r="AF14" i="23" s="1"/>
  <c r="R40" i="18"/>
  <c r="AF15" i="23" s="1"/>
  <c r="R41" i="18"/>
  <c r="AF16" i="23" s="1"/>
  <c r="R42" i="18"/>
  <c r="AF17" i="23" s="1"/>
  <c r="R43" i="18"/>
  <c r="AF18" i="23" s="1"/>
  <c r="R44" i="18"/>
  <c r="AF19" i="23" s="1"/>
  <c r="R45" i="18"/>
  <c r="AF20" i="23" s="1"/>
  <c r="R46" i="18"/>
  <c r="AF21" i="23" s="1"/>
  <c r="R47" i="18"/>
  <c r="AF22" i="23" s="1"/>
  <c r="R48" i="18"/>
  <c r="AF23" i="23" s="1"/>
  <c r="R29" i="18"/>
  <c r="AF4" i="23" s="1"/>
  <c r="P30" i="18"/>
  <c r="Z5" i="23" s="1"/>
  <c r="P31" i="18"/>
  <c r="Z6" i="23" s="1"/>
  <c r="P32" i="18"/>
  <c r="Z7" i="23" s="1"/>
  <c r="P33" i="18"/>
  <c r="Z8" i="23" s="1"/>
  <c r="P34" i="18"/>
  <c r="Z9" i="23" s="1"/>
  <c r="P35" i="18"/>
  <c r="Z10" i="23" s="1"/>
  <c r="P36" i="18"/>
  <c r="Z11" i="23" s="1"/>
  <c r="P37" i="18"/>
  <c r="Z12" i="23" s="1"/>
  <c r="P38" i="18"/>
  <c r="Z13" i="23" s="1"/>
  <c r="P39" i="18"/>
  <c r="Z14" i="23" s="1"/>
  <c r="P40" i="18"/>
  <c r="Z15" i="23" s="1"/>
  <c r="P41" i="18"/>
  <c r="Z16" i="23" s="1"/>
  <c r="P42" i="18"/>
  <c r="Z17" i="23" s="1"/>
  <c r="P43" i="18"/>
  <c r="Z18" i="23" s="1"/>
  <c r="P44" i="18"/>
  <c r="Z19" i="23" s="1"/>
  <c r="P45" i="18"/>
  <c r="Z20" i="23" s="1"/>
  <c r="P46" i="18"/>
  <c r="Z21" i="23" s="1"/>
  <c r="P47" i="18"/>
  <c r="Z22" i="23" s="1"/>
  <c r="P48" i="18"/>
  <c r="Z23" i="23" s="1"/>
  <c r="P29" i="18"/>
  <c r="Z4" i="23" s="1"/>
  <c r="Q30" i="18"/>
  <c r="AA5" i="23" s="1"/>
  <c r="Q31" i="18"/>
  <c r="AA6" i="23" s="1"/>
  <c r="Q32" i="18"/>
  <c r="AA7" i="23" s="1"/>
  <c r="Q33" i="18"/>
  <c r="AA8" i="23" s="1"/>
  <c r="Q34" i="18"/>
  <c r="AA9" i="23" s="1"/>
  <c r="Q35" i="18"/>
  <c r="AA10" i="23" s="1"/>
  <c r="Q36" i="18"/>
  <c r="AA11" i="23" s="1"/>
  <c r="Q37" i="18"/>
  <c r="AA12" i="23" s="1"/>
  <c r="Q38" i="18"/>
  <c r="AA13" i="23" s="1"/>
  <c r="Q39" i="18"/>
  <c r="AA14" i="23" s="1"/>
  <c r="Q40" i="18"/>
  <c r="AA15" i="23" s="1"/>
  <c r="Q41" i="18"/>
  <c r="AA16" i="23" s="1"/>
  <c r="Q42" i="18"/>
  <c r="AA17" i="23" s="1"/>
  <c r="Q43" i="18"/>
  <c r="AA18" i="23" s="1"/>
  <c r="Q44" i="18"/>
  <c r="AA19" i="23" s="1"/>
  <c r="Q45" i="18"/>
  <c r="AA20" i="23" s="1"/>
  <c r="Q46" i="18"/>
  <c r="AA21" i="23" s="1"/>
  <c r="Q47" i="18"/>
  <c r="AA22" i="23" s="1"/>
  <c r="Q48" i="18"/>
  <c r="AA23" i="23" s="1"/>
  <c r="Q29" i="18"/>
  <c r="AA4" i="23" s="1"/>
  <c r="M9" i="45"/>
  <c r="M10" i="45"/>
  <c r="W10" i="45" s="1"/>
  <c r="M11" i="45"/>
  <c r="W11" i="45" s="1"/>
  <c r="M12" i="45"/>
  <c r="W12" i="45" s="1"/>
  <c r="M13" i="45"/>
  <c r="W13" i="45" s="1"/>
  <c r="M14" i="45"/>
  <c r="W14" i="45" s="1"/>
  <c r="M15" i="45"/>
  <c r="W15" i="45" s="1"/>
  <c r="M16" i="45"/>
  <c r="W16" i="45" s="1"/>
  <c r="M17" i="45"/>
  <c r="W17" i="45" s="1"/>
  <c r="M18" i="45"/>
  <c r="W18" i="45" s="1"/>
  <c r="M19" i="45"/>
  <c r="W19" i="45" s="1"/>
  <c r="M20" i="45"/>
  <c r="M21" i="45"/>
  <c r="M22" i="45"/>
  <c r="M23" i="45"/>
  <c r="M24" i="45"/>
  <c r="M25" i="45"/>
  <c r="M26" i="45"/>
  <c r="M27" i="45"/>
  <c r="M8" i="45"/>
  <c r="W8" i="45" s="1"/>
  <c r="F6" i="18"/>
  <c r="F7" i="18"/>
  <c r="F8" i="18"/>
  <c r="F9" i="18"/>
  <c r="F10" i="18"/>
  <c r="F11" i="18"/>
  <c r="F12" i="18"/>
  <c r="F13" i="18"/>
  <c r="F14" i="18"/>
  <c r="F15" i="18"/>
  <c r="F16" i="18"/>
  <c r="F17" i="18"/>
  <c r="F18" i="18"/>
  <c r="F19" i="18"/>
  <c r="F20" i="18"/>
  <c r="F21" i="18"/>
  <c r="F22" i="18"/>
  <c r="F23" i="18"/>
  <c r="F24" i="18"/>
  <c r="F5" i="18"/>
  <c r="A9" i="45"/>
  <c r="A10" i="45"/>
  <c r="A11" i="45"/>
  <c r="A12" i="45"/>
  <c r="A13" i="45"/>
  <c r="A14" i="45"/>
  <c r="K14" i="45" s="1"/>
  <c r="A15" i="45"/>
  <c r="K15" i="45" s="1"/>
  <c r="A16" i="45"/>
  <c r="K16" i="45" s="1"/>
  <c r="A17" i="45"/>
  <c r="K17" i="45" s="1"/>
  <c r="A18" i="45"/>
  <c r="K18" i="45" s="1"/>
  <c r="A19" i="45"/>
  <c r="K19" i="45" s="1"/>
  <c r="A20" i="45"/>
  <c r="K20" i="45" s="1"/>
  <c r="A21" i="45"/>
  <c r="K21" i="45" s="1"/>
  <c r="A22" i="45"/>
  <c r="K22" i="45" s="1"/>
  <c r="A23" i="45"/>
  <c r="K23" i="45" s="1"/>
  <c r="A24" i="45"/>
  <c r="K24" i="45" s="1"/>
  <c r="A25" i="45"/>
  <c r="K25" i="45" s="1"/>
  <c r="A26" i="45"/>
  <c r="K26" i="45" s="1"/>
  <c r="A27" i="45"/>
  <c r="K27" i="45" s="1"/>
  <c r="A8" i="45"/>
  <c r="A37" i="45"/>
  <c r="A38" i="45"/>
  <c r="A39" i="45"/>
  <c r="A40" i="45"/>
  <c r="A41" i="45"/>
  <c r="A42" i="45"/>
  <c r="A43" i="45"/>
  <c r="A44" i="45"/>
  <c r="A45" i="45"/>
  <c r="A46" i="45"/>
  <c r="A47" i="45"/>
  <c r="A48" i="45"/>
  <c r="A49" i="45"/>
  <c r="A50" i="45"/>
  <c r="A51" i="45"/>
  <c r="A52" i="45"/>
  <c r="A53" i="45"/>
  <c r="A54" i="45"/>
  <c r="A55" i="45"/>
  <c r="A36" i="45"/>
  <c r="B21" i="10"/>
  <c r="A21" i="10" s="1" a="1"/>
  <c r="A21" i="10" s="1"/>
  <c r="C2" i="9"/>
  <c r="C1" i="9"/>
  <c r="O9" i="18"/>
  <c r="G42" i="18" l="1"/>
  <c r="G45" i="18"/>
  <c r="G41" i="18"/>
  <c r="S41" i="18" s="1"/>
  <c r="AE16" i="23" s="1"/>
  <c r="G40" i="18"/>
  <c r="G44" i="18"/>
  <c r="S44" i="18" s="1"/>
  <c r="AE19" i="23" s="1"/>
  <c r="G43" i="18"/>
  <c r="A24" i="9"/>
  <c r="G29" i="18"/>
  <c r="G39" i="18"/>
  <c r="G36" i="18"/>
  <c r="S36" i="18" s="1"/>
  <c r="AE11" i="23" s="1"/>
  <c r="G35" i="18"/>
  <c r="G33" i="18"/>
  <c r="T32" i="18"/>
  <c r="AG7" i="23" s="1"/>
  <c r="T29" i="18"/>
  <c r="AG4" i="23" s="1"/>
  <c r="T33" i="18"/>
  <c r="AG8" i="23" s="1"/>
  <c r="G38" i="18"/>
  <c r="S38" i="18" s="1"/>
  <c r="AE13" i="23" s="1"/>
  <c r="T39" i="18"/>
  <c r="AG14" i="23" s="1"/>
  <c r="T34" i="18"/>
  <c r="AG9" i="23" s="1"/>
  <c r="T40" i="18"/>
  <c r="AG15" i="23" s="1"/>
  <c r="G31" i="18"/>
  <c r="S31" i="18" s="1"/>
  <c r="AE6" i="23" s="1"/>
  <c r="G48" i="18"/>
  <c r="S48" i="18" s="1"/>
  <c r="AE23" i="23" s="1"/>
  <c r="T48" i="18"/>
  <c r="AG23" i="23" s="1"/>
  <c r="G47" i="18"/>
  <c r="S47" i="18" s="1"/>
  <c r="AE22" i="23" s="1"/>
  <c r="G46" i="18"/>
  <c r="G37" i="18"/>
  <c r="G34" i="18"/>
  <c r="S34" i="18" s="1"/>
  <c r="AE9" i="23" s="1"/>
  <c r="G32" i="18"/>
  <c r="S32" i="18" s="1"/>
  <c r="AE7" i="23" s="1"/>
  <c r="G30" i="18"/>
  <c r="AA24" i="23"/>
  <c r="T47" i="18"/>
  <c r="AG22" i="23" s="1"/>
  <c r="T31" i="18"/>
  <c r="AG6" i="23" s="1"/>
  <c r="T46" i="18"/>
  <c r="AG21" i="23" s="1"/>
  <c r="T30" i="18"/>
  <c r="AG5" i="23" s="1"/>
  <c r="Z24" i="23"/>
  <c r="T45" i="18"/>
  <c r="AG20" i="23" s="1"/>
  <c r="T44" i="18"/>
  <c r="AG19" i="23" s="1"/>
  <c r="T43" i="18"/>
  <c r="AG18" i="23" s="1"/>
  <c r="T42" i="18"/>
  <c r="AG17" i="23" s="1"/>
  <c r="AF24" i="23"/>
  <c r="T41" i="18"/>
  <c r="AG16" i="23" s="1"/>
  <c r="T38" i="18"/>
  <c r="AG13" i="23" s="1"/>
  <c r="T37" i="18"/>
  <c r="AG12" i="23" s="1"/>
  <c r="T36" i="18"/>
  <c r="AG11" i="23" s="1"/>
  <c r="T35" i="18"/>
  <c r="AG10" i="23" s="1"/>
  <c r="S42" i="18" l="1"/>
  <c r="AE17" i="23" s="1"/>
  <c r="S45" i="18"/>
  <c r="AE20" i="23" s="1"/>
  <c r="S43" i="18"/>
  <c r="AE18" i="23" s="1"/>
  <c r="S40" i="18"/>
  <c r="AE15" i="23" s="1"/>
  <c r="F21" i="4"/>
  <c r="S29" i="18"/>
  <c r="AE4" i="23" s="1"/>
  <c r="S33" i="18"/>
  <c r="AE8" i="23" s="1"/>
  <c r="S39" i="18"/>
  <c r="AE14" i="23" s="1"/>
  <c r="S35" i="18"/>
  <c r="AE10" i="23" s="1"/>
  <c r="S30" i="18"/>
  <c r="AE5" i="23" s="1"/>
  <c r="S37" i="18"/>
  <c r="AE12" i="23" s="1"/>
  <c r="S46" i="18"/>
  <c r="AE21" i="23" s="1"/>
  <c r="AG24" i="23"/>
  <c r="AE24" i="23" l="1"/>
  <c r="E32" i="9"/>
  <c r="O5" i="18" l="1"/>
  <c r="V6" i="18"/>
  <c r="L54" i="18" l="1"/>
  <c r="B30" i="45"/>
  <c r="Y14" i="18"/>
  <c r="C4" i="9"/>
  <c r="C5" i="21"/>
  <c r="C6" i="21"/>
  <c r="C4" i="10"/>
  <c r="L32" i="32"/>
  <c r="J32" i="32"/>
  <c r="B47" i="32"/>
  <c r="B30" i="32"/>
  <c r="D47" i="32"/>
  <c r="D30" i="32"/>
  <c r="B17" i="32"/>
  <c r="C7" i="11"/>
  <c r="B2" i="45"/>
  <c r="Z2" i="45"/>
  <c r="Z15" i="45" s="1"/>
  <c r="N2" i="45"/>
  <c r="AH8" i="45"/>
  <c r="J31" i="32" a="1"/>
  <c r="J31" i="32" s="1"/>
  <c r="B46" i="32" a="1"/>
  <c r="B46" i="32" s="1"/>
  <c r="B29" i="32" a="1"/>
  <c r="B29" i="32" s="1"/>
  <c r="B16" i="32" a="1"/>
  <c r="B16" i="32" s="1"/>
  <c r="K13" i="45" l="1"/>
  <c r="K12" i="45"/>
  <c r="K11" i="45"/>
  <c r="L11" i="45" s="1"/>
  <c r="V8" i="9" s="1"/>
  <c r="K9" i="45"/>
  <c r="L9" i="45" s="1"/>
  <c r="T8" i="9" s="1"/>
  <c r="K8" i="45"/>
  <c r="K10" i="45"/>
  <c r="K40" i="45"/>
  <c r="L40" i="45" s="1"/>
  <c r="T10" i="10" s="1"/>
  <c r="K39" i="45"/>
  <c r="L39" i="45" s="1"/>
  <c r="S10" i="10" s="1"/>
  <c r="K38" i="45"/>
  <c r="L38" i="45" s="1"/>
  <c r="R10" i="10" s="1"/>
  <c r="X21" i="45"/>
  <c r="V31" i="4" s="1"/>
  <c r="X22" i="45"/>
  <c r="W31" i="4" s="1"/>
  <c r="X23" i="45"/>
  <c r="X31" i="4" s="1"/>
  <c r="X13" i="45"/>
  <c r="X8" i="4" s="1"/>
  <c r="X24" i="45"/>
  <c r="Y31" i="4" s="1"/>
  <c r="X9" i="45"/>
  <c r="T8" i="4" s="1"/>
  <c r="X25" i="45"/>
  <c r="Z31" i="4" s="1"/>
  <c r="X10" i="45"/>
  <c r="U8" i="4" s="1"/>
  <c r="X26" i="45"/>
  <c r="AA31" i="4" s="1"/>
  <c r="X11" i="45"/>
  <c r="V8" i="4" s="1"/>
  <c r="X27" i="45"/>
  <c r="AB31" i="4" s="1"/>
  <c r="X18" i="45"/>
  <c r="S31" i="4" s="1"/>
  <c r="X12" i="45"/>
  <c r="W8" i="4" s="1"/>
  <c r="X14" i="45"/>
  <c r="Y8" i="4" s="1"/>
  <c r="X17" i="45"/>
  <c r="AB8" i="4" s="1"/>
  <c r="X15" i="45"/>
  <c r="Z8" i="4" s="1"/>
  <c r="X16" i="45"/>
  <c r="AA8" i="4" s="1"/>
  <c r="X19" i="45"/>
  <c r="T31" i="4" s="1"/>
  <c r="X20" i="45"/>
  <c r="U31" i="4" s="1"/>
  <c r="N17" i="45"/>
  <c r="N18" i="45"/>
  <c r="N19" i="45"/>
  <c r="N20" i="45"/>
  <c r="N27" i="45"/>
  <c r="N8" i="45"/>
  <c r="N14" i="45"/>
  <c r="N11" i="45"/>
  <c r="N12" i="45"/>
  <c r="N13" i="45"/>
  <c r="N26" i="45"/>
  <c r="N16" i="45"/>
  <c r="N9" i="45"/>
  <c r="N10" i="45"/>
  <c r="N22" i="45"/>
  <c r="N25" i="45"/>
  <c r="N15" i="45"/>
  <c r="N23" i="45"/>
  <c r="N21" i="45"/>
  <c r="N24" i="45"/>
  <c r="B27" i="45"/>
  <c r="L24" i="45"/>
  <c r="Y30" i="9" s="1"/>
  <c r="L16" i="45"/>
  <c r="AA8" i="9" s="1"/>
  <c r="B26" i="45"/>
  <c r="B11" i="45"/>
  <c r="L15" i="45"/>
  <c r="Z8" i="9" s="1"/>
  <c r="B25" i="45"/>
  <c r="L25" i="45"/>
  <c r="Z30" i="9" s="1"/>
  <c r="B22" i="45"/>
  <c r="B21" i="45"/>
  <c r="L27" i="45"/>
  <c r="AB30" i="9" s="1"/>
  <c r="B19" i="45"/>
  <c r="L19" i="45"/>
  <c r="T30" i="9" s="1"/>
  <c r="B12" i="45"/>
  <c r="B13" i="45"/>
  <c r="B14" i="45"/>
  <c r="B18" i="45"/>
  <c r="B16" i="45"/>
  <c r="B24" i="45"/>
  <c r="L23" i="45"/>
  <c r="X30" i="9" s="1"/>
  <c r="L13" i="45"/>
  <c r="X8" i="9" s="1"/>
  <c r="B10" i="45"/>
  <c r="L12" i="45"/>
  <c r="W8" i="9" s="1"/>
  <c r="L22" i="45"/>
  <c r="W30" i="9" s="1"/>
  <c r="B20" i="45"/>
  <c r="L26" i="45"/>
  <c r="AA30" i="9" s="1"/>
  <c r="B8" i="45"/>
  <c r="L21" i="45"/>
  <c r="V30" i="9" s="1"/>
  <c r="B15" i="45"/>
  <c r="L18" i="45"/>
  <c r="S30" i="9" s="1"/>
  <c r="L10" i="45"/>
  <c r="U8" i="9" s="1"/>
  <c r="L17" i="45"/>
  <c r="AB8" i="9" s="1"/>
  <c r="B9" i="45"/>
  <c r="L14" i="45"/>
  <c r="Y8" i="9" s="1"/>
  <c r="L20" i="45"/>
  <c r="U30" i="9" s="1"/>
  <c r="B23" i="45"/>
  <c r="B17" i="45"/>
  <c r="K36" i="45"/>
  <c r="B36" i="45"/>
  <c r="K46" i="45"/>
  <c r="L46" i="45" s="1"/>
  <c r="P35" i="10" s="1"/>
  <c r="K48" i="45"/>
  <c r="L48" i="45" s="1"/>
  <c r="R35" i="10" s="1"/>
  <c r="K49" i="45"/>
  <c r="L49" i="45" s="1"/>
  <c r="S35" i="10" s="1"/>
  <c r="K53" i="45"/>
  <c r="L53" i="45" s="1"/>
  <c r="W35" i="10" s="1"/>
  <c r="K54" i="45"/>
  <c r="L54" i="45" s="1"/>
  <c r="X35" i="10" s="1"/>
  <c r="K55" i="45"/>
  <c r="L55" i="45" s="1"/>
  <c r="Y35" i="10" s="1"/>
  <c r="K37" i="45"/>
  <c r="L37" i="45" s="1"/>
  <c r="Q10" i="10" s="1"/>
  <c r="K47" i="45"/>
  <c r="L47" i="45" s="1"/>
  <c r="Q35" i="10" s="1"/>
  <c r="K50" i="45"/>
  <c r="L50" i="45" s="1"/>
  <c r="T35" i="10" s="1"/>
  <c r="K45" i="45"/>
  <c r="L45" i="45" s="1"/>
  <c r="Y10" i="10" s="1"/>
  <c r="K44" i="45"/>
  <c r="L44" i="45" s="1"/>
  <c r="X10" i="10" s="1"/>
  <c r="K43" i="45"/>
  <c r="L43" i="45" s="1"/>
  <c r="W10" i="10" s="1"/>
  <c r="K42" i="45"/>
  <c r="L42" i="45" s="1"/>
  <c r="V10" i="10" s="1"/>
  <c r="K41" i="45"/>
  <c r="L41" i="45" s="1"/>
  <c r="U10" i="10" s="1"/>
  <c r="K51" i="45"/>
  <c r="L51" i="45" s="1"/>
  <c r="U35" i="10" s="1"/>
  <c r="K52" i="45"/>
  <c r="L52" i="45" s="1"/>
  <c r="V35" i="10" s="1"/>
  <c r="B48" i="45"/>
  <c r="B47" i="45"/>
  <c r="B46" i="45"/>
  <c r="B45" i="45"/>
  <c r="B44" i="45"/>
  <c r="B43" i="45"/>
  <c r="B42" i="45"/>
  <c r="B39" i="45"/>
  <c r="B38" i="45"/>
  <c r="B53" i="45"/>
  <c r="B52" i="45"/>
  <c r="B54" i="45"/>
  <c r="B51" i="45"/>
  <c r="B50" i="45"/>
  <c r="B41" i="45"/>
  <c r="B55" i="45"/>
  <c r="B37" i="45"/>
  <c r="B49" i="45"/>
  <c r="B40" i="45"/>
  <c r="Z22" i="45"/>
  <c r="Z14" i="45"/>
  <c r="Z21" i="45"/>
  <c r="Z13" i="45"/>
  <c r="Z18" i="45"/>
  <c r="Z8" i="45"/>
  <c r="Z20" i="45"/>
  <c r="Z12" i="45"/>
  <c r="Z27" i="45"/>
  <c r="Z19" i="45"/>
  <c r="Z11" i="45"/>
  <c r="Z10" i="45"/>
  <c r="Z17" i="45"/>
  <c r="Z9" i="45"/>
  <c r="Z24" i="45"/>
  <c r="Z16" i="45"/>
  <c r="Z26" i="45"/>
  <c r="Z25" i="45"/>
  <c r="Z23" i="45"/>
  <c r="C4" i="4"/>
  <c r="C18" i="1"/>
  <c r="C17" i="1"/>
  <c r="C16" i="1"/>
  <c r="C5" i="9" s="1"/>
  <c r="E5" i="10" l="1"/>
  <c r="X8" i="45"/>
  <c r="S8" i="4" s="1"/>
  <c r="D5" i="4"/>
  <c r="E4" i="9"/>
  <c r="L8" i="45"/>
  <c r="S8" i="9" s="1"/>
  <c r="L36" i="45"/>
  <c r="P10" i="10" s="1"/>
  <c r="M72" i="18"/>
  <c r="J72" i="18"/>
  <c r="M71" i="18"/>
  <c r="J71" i="18"/>
  <c r="M66" i="18"/>
  <c r="J66" i="18"/>
  <c r="M63" i="18"/>
  <c r="J63" i="18"/>
  <c r="J61" i="18"/>
  <c r="M61" i="18"/>
  <c r="J70" i="18"/>
  <c r="M70" i="18"/>
  <c r="J69" i="18"/>
  <c r="M69" i="18"/>
  <c r="J58" i="18"/>
  <c r="M58" i="18"/>
  <c r="J62" i="18"/>
  <c r="M62" i="18"/>
  <c r="J68" i="18"/>
  <c r="M68" i="18"/>
  <c r="J67" i="18"/>
  <c r="M67" i="18"/>
  <c r="J59" i="18"/>
  <c r="M59" i="18"/>
  <c r="M57" i="18"/>
  <c r="J57" i="18"/>
  <c r="M65" i="18"/>
  <c r="J65" i="18"/>
  <c r="M55" i="18"/>
  <c r="J55" i="18"/>
  <c r="M54" i="18"/>
  <c r="G4" i="23" s="1"/>
  <c r="J54" i="18"/>
  <c r="C4" i="23" s="1"/>
  <c r="M73" i="18"/>
  <c r="J73" i="18"/>
  <c r="M64" i="18"/>
  <c r="J64" i="18"/>
  <c r="M60" i="18"/>
  <c r="J60" i="18"/>
  <c r="M56" i="18"/>
  <c r="J56" i="18"/>
  <c r="AE9" i="45"/>
  <c r="P17" i="10" l="1"/>
  <c r="L40" i="32"/>
  <c r="L39" i="32"/>
  <c r="O13" i="2" a="1"/>
  <c r="O13" i="2" s="1"/>
  <c r="Y5" i="18" s="1" a="1"/>
  <c r="Y5" i="18" s="1"/>
  <c r="S27" i="9"/>
  <c r="D147" i="2"/>
  <c r="M42" i="1" l="1" a="1"/>
  <c r="M42" i="1" s="1"/>
  <c r="C8" i="4" l="1"/>
  <c r="C9" i="4" s="1"/>
  <c r="Y7" i="18"/>
  <c r="X7" i="18" l="1"/>
  <c r="E27" i="10" s="1"/>
  <c r="B1" i="45"/>
  <c r="D31" i="43" a="1"/>
  <c r="D31" i="43" s="1"/>
  <c r="D27" i="43" a="1"/>
  <c r="D27" i="43" s="1"/>
  <c r="D33" i="43" a="1"/>
  <c r="D33" i="43" s="1"/>
  <c r="D29" i="43" a="1"/>
  <c r="D29" i="43" s="1"/>
  <c r="D19" i="43" a="1"/>
  <c r="D19" i="43" s="1"/>
  <c r="D32" i="43" a="1"/>
  <c r="D32" i="43" s="1"/>
  <c r="D26" i="43" a="1"/>
  <c r="D26" i="43" s="1"/>
  <c r="D28" i="43" a="1"/>
  <c r="D28" i="43" s="1"/>
  <c r="D30" i="43" a="1"/>
  <c r="D30" i="43" s="1"/>
  <c r="D18" i="43" a="1"/>
  <c r="D18" i="43" s="1"/>
  <c r="D25" i="43" a="1"/>
  <c r="D25" i="43" s="1"/>
  <c r="D3" i="43" a="1"/>
  <c r="D3" i="43" s="1"/>
  <c r="D21" i="43" a="1"/>
  <c r="D21" i="43" s="1"/>
  <c r="D22" i="43" a="1"/>
  <c r="D22" i="43" s="1"/>
  <c r="D23" i="43" a="1"/>
  <c r="D23" i="43" s="1"/>
  <c r="D24" i="43" a="1"/>
  <c r="D24" i="43" s="1"/>
  <c r="D2" i="43" a="1"/>
  <c r="D2" i="43" s="1"/>
  <c r="D20" i="43" a="1"/>
  <c r="D20" i="43" s="1"/>
  <c r="D5" i="43" a="1"/>
  <c r="D5" i="43" s="1"/>
  <c r="D35" i="43" a="1"/>
  <c r="D35" i="43" s="1"/>
  <c r="D47" i="43" a="1"/>
  <c r="D47" i="43" s="1"/>
  <c r="D46" i="43" a="1"/>
  <c r="D46" i="43" s="1"/>
  <c r="D49" i="43" a="1"/>
  <c r="D49" i="43" s="1"/>
  <c r="D34" i="43" a="1"/>
  <c r="D34" i="43" s="1"/>
  <c r="D48" i="43" a="1"/>
  <c r="D48" i="43" s="1"/>
  <c r="D45" i="43" a="1"/>
  <c r="D45" i="43" s="1"/>
  <c r="D44" i="43" a="1"/>
  <c r="D44" i="43" s="1"/>
  <c r="D39" i="43" a="1"/>
  <c r="D39" i="43" s="1"/>
  <c r="D40" i="43" a="1"/>
  <c r="D40" i="43" s="1"/>
  <c r="D38" i="43" a="1"/>
  <c r="D38" i="43" s="1"/>
  <c r="D41" i="43" a="1"/>
  <c r="D41" i="43" s="1"/>
  <c r="D43" i="43" a="1"/>
  <c r="D43" i="43" s="1"/>
  <c r="D42" i="43" a="1"/>
  <c r="D42" i="43" s="1"/>
  <c r="D36" i="43" a="1"/>
  <c r="D36" i="43" s="1"/>
  <c r="D37" i="43" a="1"/>
  <c r="D37" i="43" s="1"/>
  <c r="D7" i="43" a="1"/>
  <c r="D7" i="43" s="1"/>
  <c r="D6" i="43" a="1"/>
  <c r="D6" i="43" s="1"/>
  <c r="D10" i="43" a="1"/>
  <c r="D10" i="43" s="1"/>
  <c r="D13" i="43" a="1"/>
  <c r="D13" i="43" s="1"/>
  <c r="D14" i="43" a="1"/>
  <c r="D14" i="43" s="1"/>
  <c r="D17" i="43" a="1"/>
  <c r="D17" i="43" s="1"/>
  <c r="D15" i="43" a="1"/>
  <c r="D15" i="43" s="1"/>
  <c r="D16" i="43" a="1"/>
  <c r="D16" i="43" s="1"/>
  <c r="D9" i="43" a="1"/>
  <c r="D9" i="43" s="1"/>
  <c r="D12" i="43" a="1"/>
  <c r="D12" i="43" s="1"/>
  <c r="D8" i="43" a="1"/>
  <c r="D8" i="43" s="1"/>
  <c r="D11" i="43" a="1"/>
  <c r="D11" i="43" s="1"/>
  <c r="D4" i="43" a="1"/>
  <c r="D4" i="43" s="1"/>
  <c r="D57" i="43"/>
  <c r="D58" i="43"/>
  <c r="D65" i="43"/>
  <c r="D54" i="43"/>
  <c r="D59" i="43"/>
  <c r="D60" i="43"/>
  <c r="D61" i="43"/>
  <c r="D55" i="43"/>
  <c r="D62" i="43"/>
  <c r="D56" i="43"/>
  <c r="D63" i="43"/>
  <c r="D64" i="43"/>
  <c r="D52" i="43"/>
  <c r="D53" i="43"/>
  <c r="D50" i="43"/>
  <c r="D51" i="43"/>
  <c r="T6" i="9"/>
  <c r="S6" i="9"/>
  <c r="P6" i="18"/>
  <c r="S5" i="23" s="1"/>
  <c r="P7" i="18"/>
  <c r="S6" i="23" s="1"/>
  <c r="P8" i="18"/>
  <c r="S7" i="23" s="1"/>
  <c r="P9" i="18"/>
  <c r="S8" i="23" s="1"/>
  <c r="P10" i="18"/>
  <c r="S9" i="23" s="1"/>
  <c r="P11" i="18"/>
  <c r="S10" i="23" s="1"/>
  <c r="P12" i="18"/>
  <c r="S11" i="23" s="1"/>
  <c r="P13" i="18"/>
  <c r="S12" i="23" s="1"/>
  <c r="P14" i="18"/>
  <c r="S13" i="23" s="1"/>
  <c r="P15" i="18"/>
  <c r="S14" i="23" s="1"/>
  <c r="P16" i="18"/>
  <c r="S15" i="23" s="1"/>
  <c r="P17" i="18"/>
  <c r="S16" i="23" s="1"/>
  <c r="P18" i="18"/>
  <c r="S17" i="23" s="1"/>
  <c r="P19" i="18"/>
  <c r="S18" i="23" s="1"/>
  <c r="P20" i="18"/>
  <c r="S19" i="23" s="1"/>
  <c r="P21" i="18"/>
  <c r="S20" i="23" s="1"/>
  <c r="P22" i="18"/>
  <c r="S21" i="23" s="1"/>
  <c r="P23" i="18"/>
  <c r="S22" i="23" s="1"/>
  <c r="P24" i="18"/>
  <c r="S23" i="23" s="1"/>
  <c r="P5" i="18"/>
  <c r="S4" i="23" s="1"/>
  <c r="O6" i="18"/>
  <c r="O7" i="18"/>
  <c r="O8" i="18"/>
  <c r="N8" i="23"/>
  <c r="O10" i="18"/>
  <c r="O11" i="18"/>
  <c r="O12" i="18"/>
  <c r="O13" i="18"/>
  <c r="O14" i="18"/>
  <c r="O15" i="18"/>
  <c r="O16" i="18"/>
  <c r="O17" i="18"/>
  <c r="O18" i="18"/>
  <c r="O19" i="18"/>
  <c r="O20" i="18"/>
  <c r="O21" i="18"/>
  <c r="O22" i="18"/>
  <c r="O23" i="18"/>
  <c r="O24" i="18"/>
  <c r="N6" i="18"/>
  <c r="N7" i="18"/>
  <c r="N8" i="18"/>
  <c r="N9" i="18"/>
  <c r="N10" i="18"/>
  <c r="N11" i="18"/>
  <c r="N12" i="18"/>
  <c r="N13" i="18"/>
  <c r="N14" i="18"/>
  <c r="N15" i="18"/>
  <c r="N16" i="18"/>
  <c r="N17" i="18"/>
  <c r="N18" i="18"/>
  <c r="N19" i="18"/>
  <c r="N20" i="18"/>
  <c r="N21" i="18"/>
  <c r="N22" i="18"/>
  <c r="N23" i="18"/>
  <c r="N24" i="18"/>
  <c r="N5" i="18"/>
  <c r="G5" i="18" s="1"/>
  <c r="S21" i="9" l="1"/>
  <c r="G10" i="18"/>
  <c r="Q10" i="18" s="1"/>
  <c r="G20" i="18"/>
  <c r="Q20" i="18" s="1"/>
  <c r="G16" i="18"/>
  <c r="Q16" i="18" s="1"/>
  <c r="C16" i="45"/>
  <c r="C23" i="45"/>
  <c r="C9" i="45"/>
  <c r="C20" i="45"/>
  <c r="C10" i="45"/>
  <c r="C14" i="45"/>
  <c r="C21" i="45"/>
  <c r="C26" i="45"/>
  <c r="C15" i="45"/>
  <c r="C12" i="45"/>
  <c r="C17" i="45"/>
  <c r="C11" i="45"/>
  <c r="C25" i="45"/>
  <c r="C8" i="45"/>
  <c r="D8" i="45" s="1"/>
  <c r="C24" i="45"/>
  <c r="C13" i="45"/>
  <c r="C27" i="45"/>
  <c r="C19" i="45"/>
  <c r="C22" i="45"/>
  <c r="C18" i="45"/>
  <c r="N22" i="23"/>
  <c r="G23" i="18"/>
  <c r="Q23" i="18" s="1"/>
  <c r="N23" i="23"/>
  <c r="G24" i="18"/>
  <c r="Q24" i="18" s="1"/>
  <c r="G9" i="18"/>
  <c r="Q9" i="18" s="1"/>
  <c r="Q5" i="18"/>
  <c r="N21" i="23"/>
  <c r="G22" i="18"/>
  <c r="Q22" i="18" s="1"/>
  <c r="N20" i="23"/>
  <c r="G21" i="18"/>
  <c r="Q21" i="18" s="1"/>
  <c r="N18" i="23"/>
  <c r="G19" i="18"/>
  <c r="Q19" i="18" s="1"/>
  <c r="N17" i="23"/>
  <c r="G18" i="18"/>
  <c r="Q18" i="18" s="1"/>
  <c r="N16" i="23"/>
  <c r="G17" i="18"/>
  <c r="Q17" i="18" s="1"/>
  <c r="N14" i="23"/>
  <c r="G15" i="18"/>
  <c r="Q15" i="18" s="1"/>
  <c r="N13" i="23"/>
  <c r="G14" i="18"/>
  <c r="Q14" i="18" s="1"/>
  <c r="N12" i="23"/>
  <c r="G13" i="18"/>
  <c r="Q13" i="18" s="1"/>
  <c r="N11" i="23"/>
  <c r="G12" i="18"/>
  <c r="Q12" i="18" s="1"/>
  <c r="N10" i="23"/>
  <c r="G11" i="18"/>
  <c r="Q11" i="18" s="1"/>
  <c r="N7" i="23"/>
  <c r="G8" i="18"/>
  <c r="Q8" i="18" s="1"/>
  <c r="N6" i="23"/>
  <c r="G7" i="18"/>
  <c r="Q7" i="18" s="1"/>
  <c r="N5" i="23"/>
  <c r="G6" i="18"/>
  <c r="Q6" i="18" s="1"/>
  <c r="N19" i="23"/>
  <c r="N15" i="23"/>
  <c r="N9" i="23"/>
  <c r="M18" i="23"/>
  <c r="T18" i="23" s="1"/>
  <c r="M11" i="23"/>
  <c r="T11" i="23" s="1"/>
  <c r="M4" i="23"/>
  <c r="M23" i="23"/>
  <c r="T23" i="23" s="1"/>
  <c r="M22" i="23"/>
  <c r="T22" i="23" s="1"/>
  <c r="M6" i="23"/>
  <c r="T6" i="23" s="1"/>
  <c r="M21" i="23"/>
  <c r="T21" i="23" s="1"/>
  <c r="M5" i="23"/>
  <c r="T5" i="23" s="1"/>
  <c r="M20" i="23"/>
  <c r="T20" i="23" s="1"/>
  <c r="M19" i="23"/>
  <c r="T19" i="23" s="1"/>
  <c r="M17" i="23"/>
  <c r="T17" i="23" s="1"/>
  <c r="M16" i="23"/>
  <c r="T16" i="23" s="1"/>
  <c r="M15" i="23"/>
  <c r="T15" i="23" s="1"/>
  <c r="M13" i="23"/>
  <c r="T13" i="23" s="1"/>
  <c r="M8" i="23"/>
  <c r="T8" i="23" s="1"/>
  <c r="M7" i="23"/>
  <c r="T7" i="23" s="1"/>
  <c r="M14" i="23"/>
  <c r="T14" i="23" s="1"/>
  <c r="M12" i="23"/>
  <c r="T12" i="23" s="1"/>
  <c r="M10" i="23"/>
  <c r="T10" i="23" s="1"/>
  <c r="M9" i="23"/>
  <c r="T9" i="23" s="1"/>
  <c r="B29" i="45"/>
  <c r="AA9" i="45"/>
  <c r="AB9" i="45" s="1"/>
  <c r="AD9" i="45" s="1"/>
  <c r="N4" i="23"/>
  <c r="F7" i="43"/>
  <c r="Y6" i="18" s="1"/>
  <c r="Y10" i="18"/>
  <c r="T4" i="23" l="1"/>
  <c r="F20" i="9" s="1"/>
  <c r="F8" i="45"/>
  <c r="E8" i="45"/>
  <c r="G8" i="45" s="1"/>
  <c r="H8" i="45" s="1"/>
  <c r="C49" i="45"/>
  <c r="E49" i="45" s="1"/>
  <c r="G49" i="45" s="1"/>
  <c r="H49" i="45" s="1"/>
  <c r="C51" i="45"/>
  <c r="D51" i="45" s="1"/>
  <c r="F51" i="45" s="1"/>
  <c r="C45" i="45"/>
  <c r="D45" i="45" s="1"/>
  <c r="F45" i="45" s="1"/>
  <c r="C54" i="45"/>
  <c r="D54" i="45" s="1"/>
  <c r="F54" i="45" s="1"/>
  <c r="C53" i="45"/>
  <c r="E53" i="45" s="1"/>
  <c r="G53" i="45" s="1"/>
  <c r="H53" i="45" s="1"/>
  <c r="C46" i="45"/>
  <c r="D46" i="45" s="1"/>
  <c r="F46" i="45" s="1"/>
  <c r="C38" i="45"/>
  <c r="D38" i="45" s="1"/>
  <c r="F38" i="45" s="1"/>
  <c r="C50" i="45"/>
  <c r="D50" i="45" s="1"/>
  <c r="F50" i="45" s="1"/>
  <c r="C48" i="45"/>
  <c r="E48" i="45" s="1"/>
  <c r="G48" i="45" s="1"/>
  <c r="H48" i="45" s="1"/>
  <c r="C43" i="45"/>
  <c r="D43" i="45" s="1"/>
  <c r="F43" i="45" s="1"/>
  <c r="C52" i="45"/>
  <c r="E52" i="45" s="1"/>
  <c r="G52" i="45" s="1"/>
  <c r="H52" i="45" s="1"/>
  <c r="C44" i="45"/>
  <c r="E44" i="45" s="1"/>
  <c r="G44" i="45" s="1"/>
  <c r="H44" i="45" s="1"/>
  <c r="C40" i="45"/>
  <c r="E40" i="45" s="1"/>
  <c r="G40" i="45" s="1"/>
  <c r="H40" i="45" s="1"/>
  <c r="C37" i="45"/>
  <c r="D37" i="45" s="1"/>
  <c r="C55" i="45"/>
  <c r="E55" i="45" s="1"/>
  <c r="G55" i="45" s="1"/>
  <c r="H55" i="45" s="1"/>
  <c r="C47" i="45"/>
  <c r="E47" i="45" s="1"/>
  <c r="G47" i="45" s="1"/>
  <c r="H47" i="45" s="1"/>
  <c r="C41" i="45"/>
  <c r="D41" i="45" s="1"/>
  <c r="F41" i="45" s="1"/>
  <c r="C42" i="45"/>
  <c r="D42" i="45" s="1"/>
  <c r="F42" i="45" s="1"/>
  <c r="C36" i="45"/>
  <c r="D36" i="45" s="1"/>
  <c r="F36" i="45" s="1"/>
  <c r="C39" i="45"/>
  <c r="D39" i="45" s="1"/>
  <c r="F39" i="45" s="1"/>
  <c r="Z1" i="45"/>
  <c r="N1" i="45"/>
  <c r="O21" i="45" l="1"/>
  <c r="O13" i="45"/>
  <c r="O22" i="45"/>
  <c r="O11" i="45"/>
  <c r="O19" i="45"/>
  <c r="O23" i="45"/>
  <c r="O24" i="45"/>
  <c r="O27" i="45"/>
  <c r="O18" i="45"/>
  <c r="O8" i="45"/>
  <c r="P8" i="45" s="1"/>
  <c r="O25" i="45"/>
  <c r="O17" i="45"/>
  <c r="O26" i="45"/>
  <c r="O9" i="45"/>
  <c r="P9" i="45" s="1"/>
  <c r="O15" i="45"/>
  <c r="O14" i="45"/>
  <c r="O20" i="45"/>
  <c r="O12" i="45"/>
  <c r="O10" i="45"/>
  <c r="O16" i="45"/>
  <c r="I8" i="45"/>
  <c r="S12" i="9" s="1"/>
  <c r="J8" i="45"/>
  <c r="D48" i="45"/>
  <c r="F48" i="45" s="1"/>
  <c r="I48" i="45" s="1"/>
  <c r="E54" i="45"/>
  <c r="G54" i="45" s="1"/>
  <c r="H54" i="45" s="1"/>
  <c r="I54" i="45" s="1"/>
  <c r="D49" i="45"/>
  <c r="F49" i="45" s="1"/>
  <c r="I49" i="45" s="1"/>
  <c r="D53" i="45"/>
  <c r="F53" i="45" s="1"/>
  <c r="I53" i="45" s="1"/>
  <c r="D52" i="45"/>
  <c r="F52" i="45" s="1"/>
  <c r="I52" i="45" s="1"/>
  <c r="E50" i="45"/>
  <c r="G50" i="45" s="1"/>
  <c r="H50" i="45" s="1"/>
  <c r="I50" i="45" s="1"/>
  <c r="E51" i="45"/>
  <c r="G51" i="45" s="1"/>
  <c r="H51" i="45" s="1"/>
  <c r="I51" i="45" s="1"/>
  <c r="E42" i="45"/>
  <c r="G42" i="45" s="1"/>
  <c r="H42" i="45" s="1"/>
  <c r="E43" i="45"/>
  <c r="G43" i="45" s="1"/>
  <c r="H43" i="45" s="1"/>
  <c r="D55" i="45"/>
  <c r="F55" i="45" s="1"/>
  <c r="I55" i="45" s="1"/>
  <c r="D44" i="45"/>
  <c r="F44" i="45" s="1"/>
  <c r="I44" i="45" s="1"/>
  <c r="E39" i="45"/>
  <c r="G39" i="45" s="1"/>
  <c r="H39" i="45" s="1"/>
  <c r="J39" i="45" s="1"/>
  <c r="E38" i="45"/>
  <c r="G38" i="45" s="1"/>
  <c r="H38" i="45" s="1"/>
  <c r="J38" i="45" s="1"/>
  <c r="D47" i="45"/>
  <c r="F47" i="45" s="1"/>
  <c r="E46" i="45"/>
  <c r="G46" i="45" s="1"/>
  <c r="H46" i="45" s="1"/>
  <c r="E41" i="45"/>
  <c r="G41" i="45" s="1"/>
  <c r="H41" i="45" s="1"/>
  <c r="I41" i="45" s="1"/>
  <c r="E45" i="45"/>
  <c r="G45" i="45" s="1"/>
  <c r="H45" i="45" s="1"/>
  <c r="F37" i="45"/>
  <c r="E37" i="45"/>
  <c r="D40" i="45"/>
  <c r="F40" i="45" s="1"/>
  <c r="I40" i="45" s="1"/>
  <c r="E36" i="45"/>
  <c r="G36" i="45" s="1"/>
  <c r="H36" i="45" s="1"/>
  <c r="J36" i="45" s="1"/>
  <c r="I54" i="18" s="1"/>
  <c r="F4" i="23" s="1"/>
  <c r="P12" i="10" s="1"/>
  <c r="AA17" i="45"/>
  <c r="AA16" i="45"/>
  <c r="AA14" i="45"/>
  <c r="AA22" i="45"/>
  <c r="AA12" i="45"/>
  <c r="AA20" i="45"/>
  <c r="AA24" i="45"/>
  <c r="AA23" i="45"/>
  <c r="AA27" i="45"/>
  <c r="AA11" i="45"/>
  <c r="AA21" i="45"/>
  <c r="AA15" i="45"/>
  <c r="AA25" i="45"/>
  <c r="AA10" i="45"/>
  <c r="AA13" i="45"/>
  <c r="AA18" i="45"/>
  <c r="AA26" i="45"/>
  <c r="AA19" i="45"/>
  <c r="AF9" i="45"/>
  <c r="A7" i="24"/>
  <c r="AN8" i="23"/>
  <c r="J52" i="45" l="1"/>
  <c r="J53" i="45"/>
  <c r="I43" i="45"/>
  <c r="J43" i="45"/>
  <c r="I42" i="45"/>
  <c r="J42" i="45"/>
  <c r="U11" i="10"/>
  <c r="J4" i="23"/>
  <c r="J49" i="45"/>
  <c r="J48" i="45"/>
  <c r="Q15" i="45"/>
  <c r="S15" i="45" s="1"/>
  <c r="T15" i="45" s="1"/>
  <c r="P15" i="45"/>
  <c r="R15" i="45" s="1"/>
  <c r="P18" i="45"/>
  <c r="R18" i="45" s="1"/>
  <c r="Q18" i="45"/>
  <c r="S18" i="45" s="1"/>
  <c r="T18" i="45" s="1"/>
  <c r="P25" i="45"/>
  <c r="R25" i="45" s="1"/>
  <c r="Q25" i="45"/>
  <c r="S25" i="45" s="1"/>
  <c r="T25" i="45" s="1"/>
  <c r="Q27" i="45"/>
  <c r="S27" i="45" s="1"/>
  <c r="T27" i="45" s="1"/>
  <c r="P27" i="45"/>
  <c r="R27" i="45" s="1"/>
  <c r="Q17" i="45"/>
  <c r="S17" i="45" s="1"/>
  <c r="T17" i="45" s="1"/>
  <c r="P17" i="45"/>
  <c r="R17" i="45" s="1"/>
  <c r="P24" i="45"/>
  <c r="R24" i="45" s="1"/>
  <c r="Q24" i="45"/>
  <c r="S24" i="45" s="1"/>
  <c r="T24" i="45" s="1"/>
  <c r="Q9" i="45"/>
  <c r="S9" i="45" s="1"/>
  <c r="T9" i="45" s="1"/>
  <c r="R9" i="45"/>
  <c r="P23" i="45"/>
  <c r="R23" i="45" s="1"/>
  <c r="Q23" i="45"/>
  <c r="S23" i="45" s="1"/>
  <c r="T23" i="45" s="1"/>
  <c r="Q14" i="45"/>
  <c r="S14" i="45" s="1"/>
  <c r="T14" i="45" s="1"/>
  <c r="P14" i="45"/>
  <c r="R14" i="45" s="1"/>
  <c r="Q26" i="45"/>
  <c r="S26" i="45" s="1"/>
  <c r="T26" i="45" s="1"/>
  <c r="P26" i="45"/>
  <c r="R26" i="45" s="1"/>
  <c r="P19" i="45"/>
  <c r="R19" i="45" s="1"/>
  <c r="Q19" i="45"/>
  <c r="S19" i="45" s="1"/>
  <c r="T19" i="45" s="1"/>
  <c r="Q16" i="45"/>
  <c r="S16" i="45" s="1"/>
  <c r="T16" i="45" s="1"/>
  <c r="P16" i="45"/>
  <c r="R16" i="45" s="1"/>
  <c r="Q11" i="45"/>
  <c r="S11" i="45" s="1"/>
  <c r="T11" i="45" s="1"/>
  <c r="P11" i="45"/>
  <c r="R11" i="45" s="1"/>
  <c r="Q10" i="45"/>
  <c r="S10" i="45" s="1"/>
  <c r="T10" i="45" s="1"/>
  <c r="P10" i="45"/>
  <c r="R10" i="45" s="1"/>
  <c r="P22" i="45"/>
  <c r="R22" i="45" s="1"/>
  <c r="Q22" i="45"/>
  <c r="S22" i="45" s="1"/>
  <c r="T22" i="45" s="1"/>
  <c r="Q13" i="45"/>
  <c r="S13" i="45" s="1"/>
  <c r="T13" i="45" s="1"/>
  <c r="P13" i="45"/>
  <c r="R13" i="45" s="1"/>
  <c r="Q8" i="45"/>
  <c r="S8" i="45" s="1"/>
  <c r="T8" i="45" s="1"/>
  <c r="R8" i="45"/>
  <c r="Q12" i="45"/>
  <c r="S12" i="45" s="1"/>
  <c r="T12" i="45" s="1"/>
  <c r="P12" i="45"/>
  <c r="R12" i="45" s="1"/>
  <c r="P20" i="45"/>
  <c r="R20" i="45" s="1"/>
  <c r="Q20" i="45"/>
  <c r="S20" i="45" s="1"/>
  <c r="T20" i="45" s="1"/>
  <c r="P21" i="45"/>
  <c r="R21" i="45" s="1"/>
  <c r="Q21" i="45"/>
  <c r="S21" i="45" s="1"/>
  <c r="T21" i="45" s="1"/>
  <c r="D5" i="18"/>
  <c r="S10" i="9" s="1"/>
  <c r="J54" i="45"/>
  <c r="J51" i="45"/>
  <c r="J55" i="45"/>
  <c r="J45" i="45"/>
  <c r="I45" i="45"/>
  <c r="Y11" i="10" s="1"/>
  <c r="J46" i="45"/>
  <c r="I46" i="45"/>
  <c r="I38" i="45"/>
  <c r="I47" i="45"/>
  <c r="J50" i="45"/>
  <c r="I39" i="45"/>
  <c r="I36" i="45"/>
  <c r="T11" i="10" s="1"/>
  <c r="J44" i="45"/>
  <c r="J41" i="45"/>
  <c r="I59" i="18" s="1"/>
  <c r="F9" i="23" s="1"/>
  <c r="J9" i="23" s="1"/>
  <c r="J47" i="45"/>
  <c r="J40" i="45"/>
  <c r="G37" i="45"/>
  <c r="AC10" i="45"/>
  <c r="AE10" i="45" s="1"/>
  <c r="AF10" i="45" s="1"/>
  <c r="AB10" i="45"/>
  <c r="AD10" i="45" s="1"/>
  <c r="AB20" i="45"/>
  <c r="AD20" i="45" s="1"/>
  <c r="AC20" i="45"/>
  <c r="AE20" i="45" s="1"/>
  <c r="AF20" i="45" s="1"/>
  <c r="AB25" i="45"/>
  <c r="AD25" i="45" s="1"/>
  <c r="AC25" i="45"/>
  <c r="AE25" i="45" s="1"/>
  <c r="AF25" i="45" s="1"/>
  <c r="AC12" i="45"/>
  <c r="AE12" i="45" s="1"/>
  <c r="AF12" i="45" s="1"/>
  <c r="AB12" i="45"/>
  <c r="AD12" i="45" s="1"/>
  <c r="AB22" i="45"/>
  <c r="AD22" i="45" s="1"/>
  <c r="AC22" i="45"/>
  <c r="AE22" i="45" s="1"/>
  <c r="AF22" i="45" s="1"/>
  <c r="AH9" i="45"/>
  <c r="AG9" i="45"/>
  <c r="AC21" i="45"/>
  <c r="AE21" i="45" s="1"/>
  <c r="AF21" i="45" s="1"/>
  <c r="AB21" i="45"/>
  <c r="AD21" i="45" s="1"/>
  <c r="AB14" i="45"/>
  <c r="AD14" i="45" s="1"/>
  <c r="AC14" i="45"/>
  <c r="AE14" i="45" s="1"/>
  <c r="AF14" i="45" s="1"/>
  <c r="AC13" i="45"/>
  <c r="AE13" i="45" s="1"/>
  <c r="AF13" i="45" s="1"/>
  <c r="AB13" i="45"/>
  <c r="AD13" i="45" s="1"/>
  <c r="AB24" i="45"/>
  <c r="AD24" i="45" s="1"/>
  <c r="AC24" i="45"/>
  <c r="AE24" i="45" s="1"/>
  <c r="AF24" i="45" s="1"/>
  <c r="AC15" i="45"/>
  <c r="AE15" i="45" s="1"/>
  <c r="AF15" i="45" s="1"/>
  <c r="AB15" i="45"/>
  <c r="AD15" i="45" s="1"/>
  <c r="AC19" i="45"/>
  <c r="AE19" i="45" s="1"/>
  <c r="AF19" i="45" s="1"/>
  <c r="AB19" i="45"/>
  <c r="AD19" i="45" s="1"/>
  <c r="AC11" i="45"/>
  <c r="AE11" i="45" s="1"/>
  <c r="AF11" i="45" s="1"/>
  <c r="AB11" i="45"/>
  <c r="AD11" i="45" s="1"/>
  <c r="AB16" i="45"/>
  <c r="AD16" i="45" s="1"/>
  <c r="AC16" i="45"/>
  <c r="AE16" i="45" s="1"/>
  <c r="AF16" i="45" s="1"/>
  <c r="AC26" i="45"/>
  <c r="AE26" i="45" s="1"/>
  <c r="AF26" i="45" s="1"/>
  <c r="AB26" i="45"/>
  <c r="AD26" i="45" s="1"/>
  <c r="AC27" i="45"/>
  <c r="AE27" i="45" s="1"/>
  <c r="AF27" i="45" s="1"/>
  <c r="AB27" i="45"/>
  <c r="AD27" i="45" s="1"/>
  <c r="AC17" i="45"/>
  <c r="AE17" i="45" s="1"/>
  <c r="AF17" i="45" s="1"/>
  <c r="AB17" i="45"/>
  <c r="AD17" i="45" s="1"/>
  <c r="AC18" i="45"/>
  <c r="AE18" i="45" s="1"/>
  <c r="AF18" i="45" s="1"/>
  <c r="AB18" i="45"/>
  <c r="AD18" i="45" s="1"/>
  <c r="AC23" i="45"/>
  <c r="AE23" i="45" s="1"/>
  <c r="AF23" i="45" s="1"/>
  <c r="AB23" i="45"/>
  <c r="AD23" i="45" s="1"/>
  <c r="C10" i="11"/>
  <c r="C7" i="4"/>
  <c r="C7" i="9"/>
  <c r="P19" i="10" l="1"/>
  <c r="I62" i="18"/>
  <c r="F12" i="23" s="1"/>
  <c r="J12" i="23" s="1"/>
  <c r="W11" i="10"/>
  <c r="V11" i="10"/>
  <c r="S11" i="10"/>
  <c r="P11" i="10"/>
  <c r="I61" i="18"/>
  <c r="F11" i="23" s="1"/>
  <c r="W12" i="10" s="1"/>
  <c r="Q36" i="10"/>
  <c r="I60" i="18"/>
  <c r="F10" i="23" s="1"/>
  <c r="V12" i="10" s="1"/>
  <c r="X11" i="10"/>
  <c r="I58" i="18"/>
  <c r="F8" i="23" s="1"/>
  <c r="J8" i="23" s="1"/>
  <c r="I65" i="18"/>
  <c r="F15" i="23" s="1"/>
  <c r="J15" i="23" s="1"/>
  <c r="T36" i="10"/>
  <c r="U23" i="45"/>
  <c r="V23" i="45"/>
  <c r="U27" i="45"/>
  <c r="V27" i="45"/>
  <c r="U24" i="45"/>
  <c r="V24" i="45"/>
  <c r="U11" i="45"/>
  <c r="V11" i="45"/>
  <c r="U25" i="45"/>
  <c r="V25" i="45"/>
  <c r="U9" i="45"/>
  <c r="V9" i="45"/>
  <c r="U21" i="45"/>
  <c r="D42" i="18" s="1"/>
  <c r="V33" i="4" s="1"/>
  <c r="V21" i="45"/>
  <c r="U13" i="45"/>
  <c r="D34" i="18" s="1"/>
  <c r="X10" i="4" s="1"/>
  <c r="V13" i="45"/>
  <c r="K34" i="18" s="1"/>
  <c r="U17" i="45"/>
  <c r="V17" i="45"/>
  <c r="U19" i="45"/>
  <c r="D40" i="18" s="1"/>
  <c r="T33" i="4" s="1"/>
  <c r="V19" i="45"/>
  <c r="U18" i="45"/>
  <c r="V18" i="45"/>
  <c r="U12" i="45"/>
  <c r="D33" i="18" s="1"/>
  <c r="W10" i="4" s="1"/>
  <c r="V12" i="45"/>
  <c r="U22" i="45"/>
  <c r="V22" i="45"/>
  <c r="U10" i="45"/>
  <c r="V10" i="45"/>
  <c r="U16" i="45"/>
  <c r="V16" i="45"/>
  <c r="U26" i="45"/>
  <c r="V26" i="45"/>
  <c r="U20" i="45"/>
  <c r="V20" i="45"/>
  <c r="U8" i="45"/>
  <c r="V8" i="45"/>
  <c r="K49" i="18" s="1"/>
  <c r="U14" i="45"/>
  <c r="D35" i="18" s="1"/>
  <c r="Y10" i="4" s="1"/>
  <c r="V14" i="45"/>
  <c r="U15" i="45"/>
  <c r="V15" i="45"/>
  <c r="I63" i="18"/>
  <c r="F13" i="23" s="1"/>
  <c r="J13" i="23" s="1"/>
  <c r="I68" i="18"/>
  <c r="F18" i="23" s="1"/>
  <c r="J18" i="23" s="1"/>
  <c r="H37" i="45"/>
  <c r="P9" i="10"/>
  <c r="AG25" i="45"/>
  <c r="AG27" i="45"/>
  <c r="AH27" i="45"/>
  <c r="AH19" i="45"/>
  <c r="AG19" i="45"/>
  <c r="AG12" i="45"/>
  <c r="AH12" i="45"/>
  <c r="AH25" i="45"/>
  <c r="AG23" i="45"/>
  <c r="AH23" i="45"/>
  <c r="AG21" i="45"/>
  <c r="AH21" i="45"/>
  <c r="AH16" i="45"/>
  <c r="AG16" i="45"/>
  <c r="AH24" i="45"/>
  <c r="AG24" i="45"/>
  <c r="AG20" i="45"/>
  <c r="AH20" i="45"/>
  <c r="AH15" i="45"/>
  <c r="AG15" i="45"/>
  <c r="AG18" i="45"/>
  <c r="AH18" i="45"/>
  <c r="AG26" i="45"/>
  <c r="AH26" i="45"/>
  <c r="AG22" i="45"/>
  <c r="AH22" i="45"/>
  <c r="AG14" i="45"/>
  <c r="AH14" i="45"/>
  <c r="AG17" i="45"/>
  <c r="AH17" i="45"/>
  <c r="AH11" i="45"/>
  <c r="AG11" i="45"/>
  <c r="AG13" i="45"/>
  <c r="AH13" i="45"/>
  <c r="AG10" i="45"/>
  <c r="AH10" i="45"/>
  <c r="P20" i="10" l="1"/>
  <c r="P21" i="10"/>
  <c r="K36" i="18"/>
  <c r="B36" i="18" s="1"/>
  <c r="AI11" i="23" s="1"/>
  <c r="K46" i="18"/>
  <c r="L46" i="18" s="1"/>
  <c r="Z12" i="4"/>
  <c r="J11" i="23"/>
  <c r="J10" i="23"/>
  <c r="D37" i="18"/>
  <c r="AA10" i="4" s="1"/>
  <c r="AA12" i="4"/>
  <c r="K31" i="18"/>
  <c r="L31" i="18" s="1"/>
  <c r="K37" i="18"/>
  <c r="L37" i="18" s="1"/>
  <c r="K35" i="18"/>
  <c r="B35" i="18" s="1"/>
  <c r="AI10" i="23" s="1"/>
  <c r="K45" i="18"/>
  <c r="B45" i="18" s="1"/>
  <c r="Y35" i="4"/>
  <c r="K41" i="18"/>
  <c r="B41" i="18" s="1"/>
  <c r="AI16" i="23" s="1"/>
  <c r="K47" i="18"/>
  <c r="B47" i="18" s="1"/>
  <c r="AI22" i="23" s="1"/>
  <c r="S35" i="4"/>
  <c r="V35" i="4"/>
  <c r="D47" i="18"/>
  <c r="AA33" i="4" s="1"/>
  <c r="AA35" i="4"/>
  <c r="D32" i="18"/>
  <c r="V10" i="4" s="1"/>
  <c r="T35" i="4"/>
  <c r="D41" i="18"/>
  <c r="U33" i="4" s="1"/>
  <c r="U35" i="4"/>
  <c r="D44" i="18"/>
  <c r="X33" i="4" s="1"/>
  <c r="X35" i="4"/>
  <c r="AB35" i="4"/>
  <c r="D43" i="18"/>
  <c r="W33" i="4" s="1"/>
  <c r="W35" i="4"/>
  <c r="D46" i="18"/>
  <c r="Z33" i="4" s="1"/>
  <c r="Z35" i="4"/>
  <c r="D45" i="18"/>
  <c r="Y33" i="4" s="1"/>
  <c r="D29" i="18"/>
  <c r="S10" i="4" s="1"/>
  <c r="D48" i="18"/>
  <c r="AB33" i="4" s="1"/>
  <c r="D31" i="18"/>
  <c r="U10" i="4" s="1"/>
  <c r="D30" i="18"/>
  <c r="T10" i="4" s="1"/>
  <c r="D36" i="18"/>
  <c r="Z10" i="4" s="1"/>
  <c r="D39" i="18"/>
  <c r="S33" i="4" s="1"/>
  <c r="D38" i="18"/>
  <c r="AB10" i="4" s="1"/>
  <c r="Y12" i="4"/>
  <c r="B34" i="18"/>
  <c r="AI9" i="23" s="1"/>
  <c r="L34" i="18"/>
  <c r="A34" i="18"/>
  <c r="K43" i="18"/>
  <c r="K33" i="18"/>
  <c r="K38" i="18"/>
  <c r="K40" i="18"/>
  <c r="K32" i="18"/>
  <c r="K29" i="18"/>
  <c r="K42" i="18"/>
  <c r="K39" i="18"/>
  <c r="K30" i="18"/>
  <c r="K48" i="18"/>
  <c r="K44" i="18"/>
  <c r="V12" i="4"/>
  <c r="X12" i="4"/>
  <c r="AB12" i="4"/>
  <c r="J37" i="45"/>
  <c r="I37" i="45"/>
  <c r="W12" i="4"/>
  <c r="A36" i="18" l="1"/>
  <c r="A46" i="18"/>
  <c r="B46" i="18"/>
  <c r="AI21" i="23" s="1"/>
  <c r="L36" i="18"/>
  <c r="N36" i="18" s="1"/>
  <c r="AC11" i="23" s="1"/>
  <c r="I56" i="18"/>
  <c r="F6" i="23" s="1"/>
  <c r="R12" i="10" s="1"/>
  <c r="I72" i="18"/>
  <c r="F22" i="23" s="1"/>
  <c r="J22" i="23" s="1"/>
  <c r="I71" i="18"/>
  <c r="F21" i="23" s="1"/>
  <c r="J21" i="23" s="1"/>
  <c r="I73" i="18"/>
  <c r="F23" i="23" s="1"/>
  <c r="J23" i="23" s="1"/>
  <c r="I67" i="18"/>
  <c r="F17" i="23" s="1"/>
  <c r="J17" i="23" s="1"/>
  <c r="I66" i="18"/>
  <c r="F16" i="23" s="1"/>
  <c r="J16" i="23" s="1"/>
  <c r="I69" i="18"/>
  <c r="F19" i="23" s="1"/>
  <c r="J19" i="23" s="1"/>
  <c r="Y36" i="10"/>
  <c r="S36" i="10"/>
  <c r="R36" i="10"/>
  <c r="X36" i="10"/>
  <c r="W36" i="10"/>
  <c r="R11" i="10"/>
  <c r="U36" i="10"/>
  <c r="Q11" i="10"/>
  <c r="J6" i="23"/>
  <c r="A35" i="18"/>
  <c r="A37" i="18"/>
  <c r="A31" i="18"/>
  <c r="B31" i="18"/>
  <c r="AI6" i="23" s="1"/>
  <c r="B37" i="18"/>
  <c r="AI12" i="23" s="1"/>
  <c r="L35" i="18"/>
  <c r="AD10" i="23" s="1"/>
  <c r="AH10" i="23" s="1" a="1"/>
  <c r="AH10" i="23" s="1"/>
  <c r="I64" i="18"/>
  <c r="F14" i="23" s="1"/>
  <c r="J14" i="23" s="1"/>
  <c r="I57" i="18"/>
  <c r="F7" i="23" s="1"/>
  <c r="A41" i="18"/>
  <c r="A45" i="18"/>
  <c r="A47" i="18"/>
  <c r="L41" i="18"/>
  <c r="N41" i="18" s="1"/>
  <c r="AC16" i="23" s="1"/>
  <c r="L45" i="18"/>
  <c r="N45" i="18" s="1"/>
  <c r="AC20" i="23" s="1"/>
  <c r="L47" i="18"/>
  <c r="N47" i="18" s="1"/>
  <c r="AC22" i="23" s="1"/>
  <c r="V36" i="10"/>
  <c r="P36" i="10"/>
  <c r="O34" i="18"/>
  <c r="AB9" i="23" s="1"/>
  <c r="B48" i="18"/>
  <c r="AI20" i="23"/>
  <c r="O36" i="18"/>
  <c r="AB11" i="23" s="1"/>
  <c r="B42" i="18"/>
  <c r="AI17" i="23" s="1"/>
  <c r="B32" i="18"/>
  <c r="AI7" i="23" s="1"/>
  <c r="B43" i="18"/>
  <c r="AI18" i="23" s="1"/>
  <c r="B44" i="18"/>
  <c r="AI19" i="23" s="1"/>
  <c r="B29" i="18"/>
  <c r="A29" i="18"/>
  <c r="AJ9" i="23"/>
  <c r="N31" i="18"/>
  <c r="AC6" i="23" s="1"/>
  <c r="AD6" i="23"/>
  <c r="AH6" i="23" s="1" a="1"/>
  <c r="AH6" i="23" s="1"/>
  <c r="B33" i="18"/>
  <c r="AI8" i="23" s="1"/>
  <c r="B38" i="18"/>
  <c r="AI13" i="23" s="1"/>
  <c r="N37" i="18"/>
  <c r="AC12" i="23" s="1"/>
  <c r="AD12" i="23"/>
  <c r="AH12" i="23" s="1" a="1"/>
  <c r="AH12" i="23" s="1"/>
  <c r="B30" i="18"/>
  <c r="AI5" i="23" s="1"/>
  <c r="B39" i="18"/>
  <c r="N34" i="18"/>
  <c r="AC9" i="23" s="1"/>
  <c r="AD9" i="23"/>
  <c r="AH9" i="23" s="1" a="1"/>
  <c r="AH9" i="23" s="1"/>
  <c r="B40" i="18"/>
  <c r="AI15" i="23" s="1"/>
  <c r="N46" i="18"/>
  <c r="AC21" i="23" s="1"/>
  <c r="AD21" i="23"/>
  <c r="AH21" i="23" s="1" a="1"/>
  <c r="AH21" i="23" s="1"/>
  <c r="L38" i="18"/>
  <c r="A38" i="18"/>
  <c r="L33" i="18"/>
  <c r="A33" i="18"/>
  <c r="L43" i="18"/>
  <c r="A43" i="18"/>
  <c r="L44" i="18"/>
  <c r="A44" i="18"/>
  <c r="L48" i="18"/>
  <c r="A48" i="18"/>
  <c r="L30" i="18"/>
  <c r="A30" i="18"/>
  <c r="L39" i="18"/>
  <c r="A39" i="18"/>
  <c r="L42" i="18"/>
  <c r="A42" i="18"/>
  <c r="L32" i="18"/>
  <c r="A32" i="18"/>
  <c r="L40" i="18"/>
  <c r="A40" i="18"/>
  <c r="L29" i="18"/>
  <c r="I55" i="18"/>
  <c r="F5" i="23" s="1"/>
  <c r="I70" i="18"/>
  <c r="F20" i="23" s="1"/>
  <c r="J20" i="23" s="1"/>
  <c r="T6" i="11"/>
  <c r="AJ11" i="23" l="1"/>
  <c r="AJ21" i="23"/>
  <c r="O47" i="18"/>
  <c r="AB22" i="23" s="1"/>
  <c r="O41" i="18"/>
  <c r="AB16" i="23" s="1"/>
  <c r="O46" i="18"/>
  <c r="AB21" i="23" s="1"/>
  <c r="AD11" i="23"/>
  <c r="AH11" i="23" s="1" a="1"/>
  <c r="AH11" i="23" s="1"/>
  <c r="S12" i="10"/>
  <c r="J7" i="23"/>
  <c r="J5" i="23"/>
  <c r="F14" i="10"/>
  <c r="AJ20" i="23"/>
  <c r="AJ22" i="23"/>
  <c r="AJ16" i="23"/>
  <c r="AJ6" i="23"/>
  <c r="AJ12" i="23"/>
  <c r="AJ10" i="23"/>
  <c r="O35" i="18"/>
  <c r="AB10" i="23" s="1"/>
  <c r="O31" i="18"/>
  <c r="AB6" i="23" s="1"/>
  <c r="N35" i="18"/>
  <c r="AC10" i="23" s="1"/>
  <c r="O37" i="18"/>
  <c r="AB12" i="23" s="1"/>
  <c r="O45" i="18"/>
  <c r="AB20" i="23" s="1"/>
  <c r="AD16" i="23"/>
  <c r="AH16" i="23" s="1" a="1"/>
  <c r="AH16" i="23" s="1"/>
  <c r="AD22" i="23"/>
  <c r="AH22" i="23" s="1" a="1"/>
  <c r="AH22" i="23" s="1"/>
  <c r="AD20" i="23"/>
  <c r="AH20" i="23" s="1" a="1"/>
  <c r="AH20" i="23" s="1"/>
  <c r="O43" i="18"/>
  <c r="AB18" i="23" s="1"/>
  <c r="O44" i="18"/>
  <c r="AB19" i="23" s="1"/>
  <c r="O42" i="18"/>
  <c r="AB17" i="23" s="1"/>
  <c r="O32" i="18"/>
  <c r="AB7" i="23" s="1"/>
  <c r="O39" i="18"/>
  <c r="AB14" i="23" s="1"/>
  <c r="O33" i="18"/>
  <c r="AB8" i="23" s="1"/>
  <c r="O48" i="18"/>
  <c r="AB23" i="23" s="1"/>
  <c r="O40" i="18"/>
  <c r="AB15" i="23" s="1"/>
  <c r="O30" i="18"/>
  <c r="AB5" i="23" s="1"/>
  <c r="O29" i="18"/>
  <c r="AB4" i="23" s="1"/>
  <c r="O38" i="18"/>
  <c r="AB13" i="23" s="1"/>
  <c r="AI4" i="23"/>
  <c r="AI23" i="23"/>
  <c r="AJ8" i="23"/>
  <c r="AJ7" i="23"/>
  <c r="AJ14" i="23"/>
  <c r="AJ4" i="23"/>
  <c r="N44" i="18"/>
  <c r="AC19" i="23" s="1"/>
  <c r="AD19" i="23"/>
  <c r="AH19" i="23" s="1" a="1"/>
  <c r="AH19" i="23" s="1"/>
  <c r="AI14" i="23"/>
  <c r="AJ18" i="23"/>
  <c r="N29" i="18"/>
  <c r="AC4" i="23" s="1"/>
  <c r="AD4" i="23"/>
  <c r="AH4" i="23" s="1" a="1"/>
  <c r="AH4" i="23" s="1"/>
  <c r="N43" i="18"/>
  <c r="AC18" i="23" s="1"/>
  <c r="AD18" i="23"/>
  <c r="AH18" i="23" s="1" a="1"/>
  <c r="AH18" i="23" s="1"/>
  <c r="AJ15" i="23"/>
  <c r="N40" i="18"/>
  <c r="AC15" i="23" s="1"/>
  <c r="AD15" i="23"/>
  <c r="AH15" i="23" s="1" a="1"/>
  <c r="AH15" i="23" s="1"/>
  <c r="N33" i="18"/>
  <c r="AC8" i="23" s="1"/>
  <c r="AD8" i="23"/>
  <c r="AH8" i="23" s="1" a="1"/>
  <c r="AH8" i="23" s="1"/>
  <c r="AJ13" i="23"/>
  <c r="N32" i="18"/>
  <c r="AC7" i="23" s="1"/>
  <c r="AD7" i="23"/>
  <c r="AH7" i="23" s="1" a="1"/>
  <c r="AH7" i="23" s="1"/>
  <c r="AJ19" i="23"/>
  <c r="N38" i="18"/>
  <c r="AC13" i="23" s="1"/>
  <c r="AD13" i="23"/>
  <c r="AH13" i="23" s="1" a="1"/>
  <c r="AH13" i="23" s="1"/>
  <c r="N30" i="18"/>
  <c r="AC5" i="23" s="1"/>
  <c r="AD5" i="23"/>
  <c r="AH5" i="23" s="1" a="1"/>
  <c r="AH5" i="23" s="1"/>
  <c r="AJ17" i="23"/>
  <c r="AJ23" i="23"/>
  <c r="N42" i="18"/>
  <c r="AC17" i="23" s="1"/>
  <c r="AD17" i="23"/>
  <c r="AH17" i="23" s="1" a="1"/>
  <c r="AH17" i="23" s="1"/>
  <c r="N39" i="18"/>
  <c r="AC14" i="23" s="1"/>
  <c r="AD14" i="23"/>
  <c r="AH14" i="23" s="1" a="1"/>
  <c r="AH14" i="23" s="1"/>
  <c r="AJ5" i="23"/>
  <c r="N48" i="18"/>
  <c r="AC23" i="23" s="1"/>
  <c r="AD23" i="23"/>
  <c r="AH23" i="23" s="1" a="1"/>
  <c r="AH23" i="23" s="1"/>
  <c r="AB24" i="23" l="1"/>
  <c r="AC24" i="23"/>
  <c r="AD24" i="23"/>
  <c r="AI24" i="23"/>
  <c r="F37" i="4" s="1"/>
  <c r="AJ24" i="23"/>
  <c r="F36" i="4" l="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D16" i="45" l="1"/>
  <c r="F16" i="45" s="1"/>
  <c r="D25" i="45"/>
  <c r="F25" i="45" s="1"/>
  <c r="E22" i="45"/>
  <c r="G22" i="45" s="1"/>
  <c r="D13" i="45"/>
  <c r="F13" i="45" s="1"/>
  <c r="E24" i="45"/>
  <c r="G24" i="45" s="1"/>
  <c r="E18" i="45"/>
  <c r="G18" i="45" s="1"/>
  <c r="E14" i="45"/>
  <c r="G14" i="45" s="1"/>
  <c r="E17" i="45"/>
  <c r="G17" i="45" s="1"/>
  <c r="D12" i="45"/>
  <c r="F12" i="45" s="1"/>
  <c r="D15" i="45"/>
  <c r="F15" i="45" s="1"/>
  <c r="E23" i="45"/>
  <c r="G23" i="45" s="1"/>
  <c r="D19" i="45"/>
  <c r="F19" i="45" s="1"/>
  <c r="E27" i="45"/>
  <c r="G27" i="45" s="1"/>
  <c r="D20" i="45"/>
  <c r="F20" i="45" s="1"/>
  <c r="D26" i="45"/>
  <c r="F26" i="45" s="1"/>
  <c r="D21" i="45"/>
  <c r="F21" i="45" s="1"/>
  <c r="D9" i="45"/>
  <c r="F9" i="45" s="1"/>
  <c r="C1" i="4"/>
  <c r="H27" i="45" l="1"/>
  <c r="H24" i="45"/>
  <c r="H23" i="45"/>
  <c r="H22" i="45"/>
  <c r="H18" i="45"/>
  <c r="H17" i="45"/>
  <c r="H14" i="45"/>
  <c r="E9" i="45"/>
  <c r="G9" i="45" s="1"/>
  <c r="D10" i="45"/>
  <c r="F10" i="45" s="1"/>
  <c r="E16" i="45"/>
  <c r="G16" i="45" s="1"/>
  <c r="D22" i="45"/>
  <c r="E25" i="45"/>
  <c r="G25" i="45" s="1"/>
  <c r="D14" i="45"/>
  <c r="E26" i="45"/>
  <c r="G26" i="45" s="1"/>
  <c r="D18" i="45"/>
  <c r="D27" i="45"/>
  <c r="E20" i="45"/>
  <c r="G20" i="45" s="1"/>
  <c r="E12" i="45"/>
  <c r="G12" i="45" s="1"/>
  <c r="D24" i="45"/>
  <c r="E13" i="45"/>
  <c r="G13" i="45" s="1"/>
  <c r="E19" i="45"/>
  <c r="G19" i="45" s="1"/>
  <c r="E10" i="45"/>
  <c r="G10" i="45" s="1"/>
  <c r="E21" i="45"/>
  <c r="G21" i="45" s="1"/>
  <c r="D17" i="45"/>
  <c r="E15" i="45"/>
  <c r="G15" i="45" s="1"/>
  <c r="D23" i="45"/>
  <c r="E11" i="45"/>
  <c r="G11" i="45" s="1"/>
  <c r="D11" i="45"/>
  <c r="F11" i="45" s="1"/>
  <c r="E30" i="4"/>
  <c r="E31" i="4" s="1"/>
  <c r="E29" i="9"/>
  <c r="E30" i="9" s="1"/>
  <c r="E31" i="9" s="1"/>
  <c r="D24" i="32"/>
  <c r="L31" i="32"/>
  <c r="D46" i="32"/>
  <c r="D29" i="32"/>
  <c r="L41" i="32"/>
  <c r="L38" i="32"/>
  <c r="L37" i="32"/>
  <c r="L30" i="32"/>
  <c r="L29" i="32"/>
  <c r="L28" i="32"/>
  <c r="L27" i="32"/>
  <c r="L26" i="32"/>
  <c r="L25" i="32"/>
  <c r="L24" i="32"/>
  <c r="L23" i="32"/>
  <c r="L22" i="32"/>
  <c r="D41" i="32"/>
  <c r="D42" i="32"/>
  <c r="D43" i="32"/>
  <c r="D44" i="32"/>
  <c r="D45" i="32"/>
  <c r="D40" i="32"/>
  <c r="D38" i="32"/>
  <c r="D39" i="32"/>
  <c r="D37" i="32"/>
  <c r="D28" i="32"/>
  <c r="D27" i="32"/>
  <c r="D26" i="32"/>
  <c r="D25" i="32"/>
  <c r="D23" i="32"/>
  <c r="D22" i="32"/>
  <c r="Y13" i="18"/>
  <c r="Y11" i="18"/>
  <c r="Y12" i="18"/>
  <c r="E29" i="4" l="1"/>
  <c r="E28" i="9"/>
  <c r="H26" i="45"/>
  <c r="F27" i="45"/>
  <c r="I27" i="45" s="1"/>
  <c r="H25" i="45"/>
  <c r="F24" i="45"/>
  <c r="I24" i="45" s="1"/>
  <c r="F23" i="45"/>
  <c r="I23" i="45" s="1"/>
  <c r="F22" i="45"/>
  <c r="I22" i="45" s="1"/>
  <c r="H21" i="45"/>
  <c r="H20" i="45"/>
  <c r="H19" i="45"/>
  <c r="F18" i="45"/>
  <c r="I18" i="45" s="1"/>
  <c r="F17" i="45"/>
  <c r="I17" i="45" s="1"/>
  <c r="H16" i="45"/>
  <c r="H15" i="45"/>
  <c r="F14" i="45"/>
  <c r="I14" i="45" s="1"/>
  <c r="H13" i="45"/>
  <c r="H12" i="45"/>
  <c r="H11" i="45"/>
  <c r="H10" i="45"/>
  <c r="H9" i="45"/>
  <c r="J24" i="45"/>
  <c r="J23" i="45"/>
  <c r="J27" i="45"/>
  <c r="J17" i="45"/>
  <c r="J22" i="45"/>
  <c r="J18" i="45"/>
  <c r="J14" i="45"/>
  <c r="S12" i="4"/>
  <c r="T12" i="4"/>
  <c r="U12" i="4"/>
  <c r="Y6" i="9"/>
  <c r="E32" i="4" l="1"/>
  <c r="E40" i="4" s="1"/>
  <c r="E33" i="4"/>
  <c r="E34" i="4"/>
  <c r="D24" i="18"/>
  <c r="AB32" i="9" s="1"/>
  <c r="J26" i="45"/>
  <c r="I26" i="45"/>
  <c r="D11" i="18"/>
  <c r="Y10" i="9" s="1"/>
  <c r="D14" i="18"/>
  <c r="AB10" i="9" s="1"/>
  <c r="D15" i="18"/>
  <c r="S32" i="9" s="1"/>
  <c r="D19" i="18"/>
  <c r="W32" i="9" s="1"/>
  <c r="D20" i="18"/>
  <c r="X32" i="9" s="1"/>
  <c r="D21" i="18"/>
  <c r="Y32" i="9" s="1"/>
  <c r="J25" i="45"/>
  <c r="I25" i="45"/>
  <c r="I21" i="45"/>
  <c r="J21" i="45"/>
  <c r="J20" i="45"/>
  <c r="I20" i="45"/>
  <c r="J19" i="45"/>
  <c r="I16" i="18" s="1"/>
  <c r="I19" i="45"/>
  <c r="J16" i="45"/>
  <c r="I14" i="18" s="1"/>
  <c r="I16" i="45"/>
  <c r="AB12" i="9" s="1"/>
  <c r="I15" i="45"/>
  <c r="J15" i="45"/>
  <c r="J13" i="45"/>
  <c r="I13" i="45"/>
  <c r="J12" i="45"/>
  <c r="I12" i="45"/>
  <c r="J11" i="45"/>
  <c r="I11" i="45"/>
  <c r="J10" i="45"/>
  <c r="I19" i="18" s="1"/>
  <c r="I10" i="45"/>
  <c r="J9" i="45"/>
  <c r="I6" i="18" s="1"/>
  <c r="I9" i="45"/>
  <c r="AB34" i="9" s="1"/>
  <c r="W34" i="9"/>
  <c r="AM4" i="23"/>
  <c r="F24" i="11"/>
  <c r="P42" i="1" a="1"/>
  <c r="P42" i="1" s="1"/>
  <c r="J42" i="1" a="1"/>
  <c r="J42" i="1" s="1"/>
  <c r="G42" i="1" a="1"/>
  <c r="G42" i="1" s="1"/>
  <c r="C8" i="10" s="1" a="1"/>
  <c r="C8" i="10" s="1"/>
  <c r="I20" i="18" l="1"/>
  <c r="U34" i="9"/>
  <c r="I23" i="18"/>
  <c r="B23" i="18" s="1"/>
  <c r="V22" i="23" s="1"/>
  <c r="I17" i="18"/>
  <c r="B17" i="18" s="1"/>
  <c r="V16" i="23" s="1"/>
  <c r="S34" i="9"/>
  <c r="Y34" i="9"/>
  <c r="I8" i="18"/>
  <c r="B8" i="18" s="1"/>
  <c r="V7" i="23" s="1"/>
  <c r="I9" i="18"/>
  <c r="A9" i="18" s="1"/>
  <c r="I10" i="18"/>
  <c r="B10" i="18" s="1"/>
  <c r="V9" i="23" s="1"/>
  <c r="I12" i="18"/>
  <c r="B12" i="18" s="1"/>
  <c r="V11" i="23" s="1"/>
  <c r="Z12" i="9"/>
  <c r="X12" i="9"/>
  <c r="W12" i="9"/>
  <c r="I11" i="18"/>
  <c r="B11" i="18" s="1"/>
  <c r="V10" i="23" s="1"/>
  <c r="Y12" i="9"/>
  <c r="I15" i="18"/>
  <c r="I18" i="18"/>
  <c r="A18" i="18" s="1"/>
  <c r="X34" i="9"/>
  <c r="I21" i="18"/>
  <c r="V34" i="9"/>
  <c r="I24" i="18"/>
  <c r="AA34" i="9"/>
  <c r="AA12" i="9"/>
  <c r="D23" i="18"/>
  <c r="AA32" i="9" s="1"/>
  <c r="Z34" i="9"/>
  <c r="I22" i="18"/>
  <c r="B22" i="18" s="1"/>
  <c r="V21" i="23" s="1"/>
  <c r="U12" i="9"/>
  <c r="I13" i="18"/>
  <c r="B13" i="18" s="1"/>
  <c r="V12" i="23" s="1"/>
  <c r="B16" i="18"/>
  <c r="V15" i="23" s="1"/>
  <c r="A16" i="18"/>
  <c r="D13" i="18"/>
  <c r="AA10" i="9" s="1"/>
  <c r="D22" i="18"/>
  <c r="Z32" i="9" s="1"/>
  <c r="D9" i="18"/>
  <c r="W10" i="9" s="1"/>
  <c r="B6" i="18"/>
  <c r="V5" i="23" s="1"/>
  <c r="A6" i="18"/>
  <c r="T11" i="9" s="1"/>
  <c r="A19" i="18"/>
  <c r="B19" i="18"/>
  <c r="V18" i="23" s="1"/>
  <c r="D6" i="18"/>
  <c r="T10" i="9" s="1"/>
  <c r="B14" i="18"/>
  <c r="V13" i="23" s="1"/>
  <c r="A14" i="18"/>
  <c r="D10" i="18"/>
  <c r="X10" i="9" s="1"/>
  <c r="A20" i="18"/>
  <c r="B20" i="18"/>
  <c r="V19" i="23" s="1"/>
  <c r="D18" i="18"/>
  <c r="V32" i="9" s="1"/>
  <c r="D16" i="18"/>
  <c r="T32" i="9" s="1"/>
  <c r="T12" i="9"/>
  <c r="T34" i="9"/>
  <c r="D17" i="18"/>
  <c r="U32" i="9" s="1"/>
  <c r="D7" i="18"/>
  <c r="U10" i="9" s="1"/>
  <c r="D8" i="18"/>
  <c r="V10" i="9" s="1"/>
  <c r="V12" i="9"/>
  <c r="D12" i="18"/>
  <c r="Z10" i="9" s="1"/>
  <c r="I7" i="18"/>
  <c r="I5" i="18"/>
  <c r="A23" i="18" l="1"/>
  <c r="A17" i="18"/>
  <c r="W18" i="23"/>
  <c r="W5" i="23"/>
  <c r="B9" i="18"/>
  <c r="V8" i="23" s="1"/>
  <c r="A8" i="18"/>
  <c r="A12" i="18"/>
  <c r="A10" i="18"/>
  <c r="A11" i="18"/>
  <c r="Y11" i="9" s="1"/>
  <c r="B18" i="18"/>
  <c r="V17" i="23" s="1"/>
  <c r="A21" i="18"/>
  <c r="B21" i="18"/>
  <c r="V20" i="23" s="1"/>
  <c r="B24" i="18"/>
  <c r="V23" i="23" s="1"/>
  <c r="A24" i="18"/>
  <c r="B15" i="18"/>
  <c r="V14" i="23" s="1"/>
  <c r="A15" i="18"/>
  <c r="I32" i="18"/>
  <c r="J30" i="18"/>
  <c r="C30" i="18" s="1"/>
  <c r="T9" i="4" s="1"/>
  <c r="E38" i="4"/>
  <c r="J38" i="18"/>
  <c r="C38" i="18" s="1"/>
  <c r="AB9" i="4" s="1"/>
  <c r="I40" i="18"/>
  <c r="I42" i="18"/>
  <c r="J37" i="18"/>
  <c r="C37" i="18" s="1"/>
  <c r="AA9" i="4" s="1"/>
  <c r="J39" i="18"/>
  <c r="C39" i="18" s="1"/>
  <c r="S32" i="4" s="1"/>
  <c r="I48" i="18"/>
  <c r="J47" i="18"/>
  <c r="C47" i="18" s="1"/>
  <c r="AA32" i="4" s="1"/>
  <c r="H44" i="18"/>
  <c r="J43" i="18"/>
  <c r="C43" i="18" s="1"/>
  <c r="W32" i="4" s="1"/>
  <c r="J32" i="18"/>
  <c r="C32" i="18" s="1"/>
  <c r="V9" i="4" s="1"/>
  <c r="H48" i="18"/>
  <c r="H38" i="18"/>
  <c r="J35" i="18"/>
  <c r="C35" i="18" s="1"/>
  <c r="Y9" i="4" s="1"/>
  <c r="I29" i="18"/>
  <c r="H41" i="18"/>
  <c r="I47" i="18"/>
  <c r="H29" i="18"/>
  <c r="H40" i="18"/>
  <c r="H36" i="18"/>
  <c r="I44" i="18"/>
  <c r="J45" i="18"/>
  <c r="C45" i="18" s="1"/>
  <c r="Y32" i="4" s="1"/>
  <c r="I41" i="18"/>
  <c r="I35" i="18"/>
  <c r="H34" i="18"/>
  <c r="H39" i="18"/>
  <c r="J46" i="18"/>
  <c r="C46" i="18" s="1"/>
  <c r="Z32" i="4" s="1"/>
  <c r="J42" i="18"/>
  <c r="C42" i="18" s="1"/>
  <c r="V32" i="4" s="1"/>
  <c r="J31" i="18"/>
  <c r="C31" i="18" s="1"/>
  <c r="U9" i="4" s="1"/>
  <c r="J34" i="18"/>
  <c r="C34" i="18" s="1"/>
  <c r="X9" i="4" s="1"/>
  <c r="J40" i="18"/>
  <c r="C40" i="18" s="1"/>
  <c r="T32" i="4" s="1"/>
  <c r="I36" i="18"/>
  <c r="H32" i="18"/>
  <c r="H45" i="18"/>
  <c r="J41" i="18"/>
  <c r="C41" i="18" s="1"/>
  <c r="U32" i="4" s="1"/>
  <c r="I43" i="18"/>
  <c r="J44" i="18"/>
  <c r="C44" i="18" s="1"/>
  <c r="X32" i="4" s="1"/>
  <c r="H31" i="18"/>
  <c r="J29" i="18"/>
  <c r="C29" i="18" s="1"/>
  <c r="H42" i="18"/>
  <c r="I45" i="18"/>
  <c r="H35" i="18"/>
  <c r="I31" i="18"/>
  <c r="H30" i="18"/>
  <c r="J33" i="18"/>
  <c r="C33" i="18" s="1"/>
  <c r="W9" i="4" s="1"/>
  <c r="I30" i="18"/>
  <c r="H37" i="18"/>
  <c r="H46" i="18"/>
  <c r="I37" i="18"/>
  <c r="I38" i="18"/>
  <c r="I46" i="18"/>
  <c r="H33" i="18"/>
  <c r="H47" i="18"/>
  <c r="H43" i="18"/>
  <c r="I34" i="18"/>
  <c r="J48" i="18"/>
  <c r="C48" i="18" s="1"/>
  <c r="AB32" i="4" s="1"/>
  <c r="I33" i="18"/>
  <c r="I39" i="18"/>
  <c r="J36" i="18"/>
  <c r="C36" i="18" s="1"/>
  <c r="Z9" i="4" s="1"/>
  <c r="H6" i="18"/>
  <c r="H21" i="18"/>
  <c r="H14" i="18"/>
  <c r="H19" i="18"/>
  <c r="H23" i="18"/>
  <c r="H10" i="18"/>
  <c r="H16" i="18"/>
  <c r="H7" i="18"/>
  <c r="H17" i="18"/>
  <c r="H22" i="18"/>
  <c r="H15" i="18"/>
  <c r="H5" i="18"/>
  <c r="H18" i="18"/>
  <c r="H11" i="18"/>
  <c r="H12" i="18"/>
  <c r="H9" i="18"/>
  <c r="H20" i="18"/>
  <c r="H24" i="18"/>
  <c r="H8" i="18"/>
  <c r="H13" i="18"/>
  <c r="A13" i="18"/>
  <c r="M23" i="18"/>
  <c r="A5" i="18"/>
  <c r="S11" i="9" s="1"/>
  <c r="B5" i="18"/>
  <c r="V4" i="23" s="1"/>
  <c r="M19" i="18"/>
  <c r="A22" i="18"/>
  <c r="M14" i="18"/>
  <c r="W13" i="23"/>
  <c r="M12" i="18"/>
  <c r="M17" i="18"/>
  <c r="M16" i="18"/>
  <c r="W15" i="23"/>
  <c r="M20" i="18"/>
  <c r="W19" i="23"/>
  <c r="W17" i="23"/>
  <c r="W8" i="23"/>
  <c r="B7" i="18"/>
  <c r="V6" i="23" s="1"/>
  <c r="A7" i="18"/>
  <c r="E37" i="9"/>
  <c r="M6" i="18"/>
  <c r="I25" i="18"/>
  <c r="J5" i="18"/>
  <c r="L5" i="18" s="1"/>
  <c r="W22" i="23" l="1"/>
  <c r="W16" i="23"/>
  <c r="W14" i="23"/>
  <c r="M22" i="18"/>
  <c r="W23" i="23"/>
  <c r="W20" i="23"/>
  <c r="W10" i="23"/>
  <c r="W7" i="23"/>
  <c r="W6" i="23"/>
  <c r="W9" i="23"/>
  <c r="W11" i="23"/>
  <c r="W4" i="23"/>
  <c r="M13" i="18"/>
  <c r="S9" i="4"/>
  <c r="M9" i="18"/>
  <c r="M8" i="18"/>
  <c r="M15" i="18"/>
  <c r="M11" i="18"/>
  <c r="M10" i="18"/>
  <c r="E41" i="18"/>
  <c r="E46" i="18"/>
  <c r="E47" i="18"/>
  <c r="E45" i="18"/>
  <c r="E48" i="18"/>
  <c r="E44" i="18"/>
  <c r="E40" i="18"/>
  <c r="E42" i="18"/>
  <c r="E43" i="18"/>
  <c r="M24" i="18"/>
  <c r="M21" i="18"/>
  <c r="M18" i="18"/>
  <c r="E35" i="9"/>
  <c r="W21" i="23"/>
  <c r="V24" i="23"/>
  <c r="W12" i="23"/>
  <c r="C24" i="18"/>
  <c r="AB31" i="9" s="1"/>
  <c r="C23" i="18"/>
  <c r="AA31" i="9" s="1"/>
  <c r="C5" i="18"/>
  <c r="S9" i="9" s="1"/>
  <c r="C11" i="18"/>
  <c r="Y9" i="9" s="1"/>
  <c r="C21" i="18"/>
  <c r="Y31" i="9" s="1"/>
  <c r="C19" i="18"/>
  <c r="W31" i="9" s="1"/>
  <c r="C15" i="18"/>
  <c r="S31" i="9" s="1"/>
  <c r="C14" i="18"/>
  <c r="AB9" i="9" s="1"/>
  <c r="C20" i="18"/>
  <c r="X31" i="9" s="1"/>
  <c r="C10" i="18"/>
  <c r="X9" i="9" s="1"/>
  <c r="C13" i="18"/>
  <c r="AA9" i="9" s="1"/>
  <c r="C16" i="18"/>
  <c r="T31" i="9" s="1"/>
  <c r="C22" i="18"/>
  <c r="Z31" i="9" s="1"/>
  <c r="C7" i="18"/>
  <c r="U9" i="9" s="1"/>
  <c r="C9" i="18"/>
  <c r="W9" i="9" s="1"/>
  <c r="C8" i="18"/>
  <c r="V9" i="9" s="1"/>
  <c r="C18" i="18"/>
  <c r="V31" i="9" s="1"/>
  <c r="C6" i="18"/>
  <c r="T9" i="9" s="1"/>
  <c r="C12" i="18"/>
  <c r="Z9" i="9" s="1"/>
  <c r="C17" i="18"/>
  <c r="U31" i="9" s="1"/>
  <c r="M7" i="18"/>
  <c r="M5" i="18"/>
  <c r="B25" i="18"/>
  <c r="S5" i="9"/>
  <c r="T5" i="9"/>
  <c r="U5" i="9"/>
  <c r="V5" i="9"/>
  <c r="W5" i="9"/>
  <c r="X5" i="9"/>
  <c r="Y5" i="9"/>
  <c r="Z5" i="9"/>
  <c r="AA5" i="9"/>
  <c r="AB5" i="9"/>
  <c r="U6" i="9"/>
  <c r="U11" i="9" s="1"/>
  <c r="V6" i="9"/>
  <c r="V11" i="9" s="1"/>
  <c r="W6" i="9"/>
  <c r="W11" i="9" s="1"/>
  <c r="X6" i="9"/>
  <c r="X11" i="9" s="1"/>
  <c r="Z6" i="9"/>
  <c r="Z11" i="9" s="1"/>
  <c r="AA6" i="9"/>
  <c r="AA11" i="9" s="1"/>
  <c r="AB6" i="9"/>
  <c r="AB11" i="9" s="1"/>
  <c r="F34" i="9" l="1"/>
  <c r="F33" i="9"/>
  <c r="M42" i="18"/>
  <c r="Y17" i="23" s="1"/>
  <c r="M40" i="18"/>
  <c r="Y15" i="23" s="1"/>
  <c r="M44" i="18"/>
  <c r="Y19" i="23" s="1"/>
  <c r="M43" i="18"/>
  <c r="Y18" i="23" s="1"/>
  <c r="M48" i="18"/>
  <c r="Y23" i="23" s="1"/>
  <c r="M46" i="18"/>
  <c r="Y21" i="23" s="1"/>
  <c r="M41" i="18"/>
  <c r="Y16" i="23" s="1"/>
  <c r="M45" i="18"/>
  <c r="Y20" i="23" s="1"/>
  <c r="M47" i="18"/>
  <c r="Y22" i="23" s="1"/>
  <c r="E36" i="18"/>
  <c r="E37" i="18"/>
  <c r="E32" i="18"/>
  <c r="E34" i="18"/>
  <c r="E33" i="18"/>
  <c r="E35" i="18"/>
  <c r="E30" i="18"/>
  <c r="E31" i="18"/>
  <c r="E38" i="18"/>
  <c r="E39" i="18"/>
  <c r="W24" i="23"/>
  <c r="F35" i="9" s="1"/>
  <c r="E23" i="18"/>
  <c r="K23" i="18" s="1"/>
  <c r="E24" i="18"/>
  <c r="K24" i="18" s="1"/>
  <c r="E18" i="18"/>
  <c r="K18" i="18" s="1"/>
  <c r="E19" i="18"/>
  <c r="K19" i="18" s="1"/>
  <c r="E20" i="18"/>
  <c r="K20" i="18" s="1"/>
  <c r="E21" i="18"/>
  <c r="K21" i="18" s="1"/>
  <c r="E6" i="18"/>
  <c r="K6" i="18" s="1"/>
  <c r="E22" i="18"/>
  <c r="K22" i="18" s="1"/>
  <c r="E7" i="18"/>
  <c r="K7" i="18" s="1"/>
  <c r="E8" i="18"/>
  <c r="K8" i="18" s="1"/>
  <c r="E9" i="18"/>
  <c r="K9" i="18" s="1"/>
  <c r="E5" i="18"/>
  <c r="K5" i="18" s="1"/>
  <c r="E10" i="18"/>
  <c r="K10" i="18" s="1"/>
  <c r="E11" i="18"/>
  <c r="K11" i="18" s="1"/>
  <c r="E12" i="18"/>
  <c r="K12" i="18" s="1"/>
  <c r="E13" i="18"/>
  <c r="K13" i="18" s="1"/>
  <c r="E14" i="18"/>
  <c r="K14" i="18" s="1"/>
  <c r="E16" i="18"/>
  <c r="K16" i="18" s="1"/>
  <c r="E15" i="18"/>
  <c r="K15" i="18" s="1"/>
  <c r="E17" i="18"/>
  <c r="K17" i="18" s="1"/>
  <c r="Y33" i="10"/>
  <c r="M31" i="18" l="1"/>
  <c r="Y6" i="23" s="1"/>
  <c r="M39" i="18"/>
  <c r="Y14" i="23" s="1"/>
  <c r="M38" i="18"/>
  <c r="Y13" i="23" s="1"/>
  <c r="M30" i="18"/>
  <c r="Y5" i="23" s="1"/>
  <c r="M35" i="18"/>
  <c r="Y10" i="23" s="1"/>
  <c r="M33" i="18"/>
  <c r="Y8" i="23" s="1"/>
  <c r="M34" i="18"/>
  <c r="Y9" i="23" s="1"/>
  <c r="M32" i="18"/>
  <c r="Y7" i="23" s="1"/>
  <c r="M37" i="18"/>
  <c r="Y12" i="23" s="1"/>
  <c r="M36" i="18"/>
  <c r="Y11" i="23" s="1"/>
  <c r="J19" i="10"/>
  <c r="J44" i="10" l="1"/>
  <c r="H37" i="32"/>
  <c r="P37" i="32" l="1"/>
  <c r="P22" i="32"/>
  <c r="H22" i="32"/>
  <c r="H5" i="32"/>
  <c r="C3" i="21" l="1"/>
  <c r="N55" i="18" l="1"/>
  <c r="H5" i="23" s="1"/>
  <c r="Q18" i="10" s="1"/>
  <c r="N56" i="18"/>
  <c r="H6" i="23" s="1"/>
  <c r="R18" i="10" s="1"/>
  <c r="N57" i="18"/>
  <c r="N58" i="18"/>
  <c r="N59" i="18"/>
  <c r="H9" i="23" s="1"/>
  <c r="U18" i="10" s="1"/>
  <c r="N60" i="18"/>
  <c r="H10" i="23" s="1"/>
  <c r="V18" i="10" s="1"/>
  <c r="N61" i="18"/>
  <c r="H11" i="23" s="1"/>
  <c r="W18" i="10" s="1"/>
  <c r="N62" i="18"/>
  <c r="H12" i="23" s="1"/>
  <c r="N63" i="18"/>
  <c r="H13" i="23" s="1"/>
  <c r="Y18" i="10" s="1"/>
  <c r="N64" i="18"/>
  <c r="H14" i="23" s="1"/>
  <c r="P43" i="10" s="1"/>
  <c r="N65" i="18"/>
  <c r="H15" i="23" s="1"/>
  <c r="Q43" i="10" s="1"/>
  <c r="N66" i="18"/>
  <c r="N67" i="18"/>
  <c r="H17" i="23" s="1"/>
  <c r="S43" i="10" s="1"/>
  <c r="N68" i="18"/>
  <c r="N69" i="18"/>
  <c r="H19" i="23" s="1"/>
  <c r="U43" i="10" s="1"/>
  <c r="N70" i="18"/>
  <c r="H20" i="23" s="1"/>
  <c r="V43" i="10" s="1"/>
  <c r="N71" i="18"/>
  <c r="H21" i="23" s="1"/>
  <c r="W43" i="10" s="1"/>
  <c r="N72" i="18"/>
  <c r="H22" i="23" s="1"/>
  <c r="X43" i="10" s="1"/>
  <c r="N73" i="18"/>
  <c r="H23" i="23" s="1"/>
  <c r="Y43" i="10" s="1"/>
  <c r="N54" i="18"/>
  <c r="AM5" i="23"/>
  <c r="AN5" i="23"/>
  <c r="AO5" i="23"/>
  <c r="Q12" i="11" s="1"/>
  <c r="AM6" i="23"/>
  <c r="AN6" i="23"/>
  <c r="AO6" i="23"/>
  <c r="R12" i="11" s="1"/>
  <c r="AM7" i="23"/>
  <c r="AN7" i="23"/>
  <c r="AO7" i="23"/>
  <c r="S12" i="11" s="1"/>
  <c r="AM8" i="23"/>
  <c r="AL8" i="23" s="1"/>
  <c r="T10" i="11"/>
  <c r="AO8" i="23"/>
  <c r="T12" i="11" s="1"/>
  <c r="AM9" i="23"/>
  <c r="AN9" i="23"/>
  <c r="AO9" i="23"/>
  <c r="U12" i="11" s="1"/>
  <c r="AM10" i="23"/>
  <c r="AN10" i="23"/>
  <c r="AO10" i="23"/>
  <c r="V12" i="11" s="1"/>
  <c r="AM11" i="23"/>
  <c r="AN11" i="23"/>
  <c r="AO11" i="23"/>
  <c r="W12" i="11" s="1"/>
  <c r="AM12" i="23"/>
  <c r="AN12" i="23"/>
  <c r="AO12" i="23"/>
  <c r="X12" i="11" s="1"/>
  <c r="AM13" i="23"/>
  <c r="AN13" i="23"/>
  <c r="AO13" i="23"/>
  <c r="Y12" i="11" s="1"/>
  <c r="AM14" i="23"/>
  <c r="AN14" i="23"/>
  <c r="AO14" i="23"/>
  <c r="P25" i="11" s="1"/>
  <c r="AM15" i="23"/>
  <c r="AN15" i="23"/>
  <c r="AO15" i="23"/>
  <c r="Q25" i="11" s="1"/>
  <c r="AM16" i="23"/>
  <c r="AN16" i="23"/>
  <c r="AO16" i="23"/>
  <c r="R25" i="11" s="1"/>
  <c r="AM17" i="23"/>
  <c r="AN17" i="23"/>
  <c r="AO17" i="23"/>
  <c r="S25" i="11" s="1"/>
  <c r="AM18" i="23"/>
  <c r="AN18" i="23"/>
  <c r="AO18" i="23"/>
  <c r="T25" i="11" s="1"/>
  <c r="AM19" i="23"/>
  <c r="AN19" i="23"/>
  <c r="AO19" i="23"/>
  <c r="U25" i="11" s="1"/>
  <c r="AM20" i="23"/>
  <c r="AN20" i="23"/>
  <c r="AO20" i="23"/>
  <c r="V25" i="11" s="1"/>
  <c r="AM21" i="23"/>
  <c r="AN21" i="23"/>
  <c r="AO21" i="23"/>
  <c r="W25" i="11" s="1"/>
  <c r="AM22" i="23"/>
  <c r="AN22" i="23"/>
  <c r="AO22" i="23"/>
  <c r="X25" i="11" s="1"/>
  <c r="AM23" i="23"/>
  <c r="AN23" i="23"/>
  <c r="AO23" i="23"/>
  <c r="Y25" i="11" s="1"/>
  <c r="P9" i="11"/>
  <c r="X55" i="23" a="1"/>
  <c r="X55" i="23" s="1"/>
  <c r="X56" i="23" s="1"/>
  <c r="AO4" i="23"/>
  <c r="P12" i="11" s="1"/>
  <c r="AN4" i="23"/>
  <c r="B29" i="21"/>
  <c r="A29" i="21"/>
  <c r="C8" i="21"/>
  <c r="C4" i="21"/>
  <c r="K72" i="18"/>
  <c r="D22" i="23" s="1"/>
  <c r="L72" i="18"/>
  <c r="K73" i="18"/>
  <c r="D23" i="23" s="1"/>
  <c r="L73" i="18"/>
  <c r="K55" i="18"/>
  <c r="D5" i="23" s="1"/>
  <c r="Q14" i="10" s="1"/>
  <c r="K56" i="18"/>
  <c r="K57" i="18"/>
  <c r="K58" i="18"/>
  <c r="K59" i="18"/>
  <c r="K60" i="18"/>
  <c r="K61" i="18"/>
  <c r="D11" i="23" s="1"/>
  <c r="K62" i="18"/>
  <c r="K63" i="18"/>
  <c r="K64" i="18"/>
  <c r="K65" i="18"/>
  <c r="K66" i="18"/>
  <c r="K67" i="18"/>
  <c r="K68" i="18"/>
  <c r="K69" i="18"/>
  <c r="D19" i="23" s="1"/>
  <c r="K70" i="18"/>
  <c r="K71" i="18"/>
  <c r="D21" i="23" s="1"/>
  <c r="K54" i="18"/>
  <c r="L68" i="18"/>
  <c r="L69" i="18"/>
  <c r="L70" i="18"/>
  <c r="L71" i="18"/>
  <c r="L55" i="18"/>
  <c r="L56" i="18"/>
  <c r="L57" i="18"/>
  <c r="L58" i="18"/>
  <c r="L59" i="18"/>
  <c r="L60" i="18"/>
  <c r="L61" i="18"/>
  <c r="L62" i="18"/>
  <c r="L63" i="18"/>
  <c r="L64" i="18"/>
  <c r="L65" i="18"/>
  <c r="L66" i="18"/>
  <c r="L67" i="18"/>
  <c r="T22" i="11" l="1"/>
  <c r="AL18" i="23"/>
  <c r="AL4" i="23"/>
  <c r="W22" i="11"/>
  <c r="AL21" i="23"/>
  <c r="S22" i="11"/>
  <c r="AL17" i="23"/>
  <c r="Y9" i="11"/>
  <c r="AL13" i="23"/>
  <c r="U9" i="11"/>
  <c r="AL9" i="23"/>
  <c r="AL5" i="23"/>
  <c r="R9" i="11"/>
  <c r="AL6" i="23"/>
  <c r="R22" i="11"/>
  <c r="AL16" i="23"/>
  <c r="X22" i="11"/>
  <c r="AL22" i="23"/>
  <c r="P22" i="11"/>
  <c r="AL14" i="23"/>
  <c r="Y22" i="11"/>
  <c r="AL23" i="23"/>
  <c r="U22" i="11"/>
  <c r="AL19" i="23"/>
  <c r="Q22" i="11"/>
  <c r="AL15" i="23"/>
  <c r="W9" i="11"/>
  <c r="AL11" i="23"/>
  <c r="S9" i="11"/>
  <c r="AL7" i="23"/>
  <c r="V22" i="11"/>
  <c r="AL20" i="23"/>
  <c r="X9" i="11"/>
  <c r="AL12" i="23"/>
  <c r="V9" i="11"/>
  <c r="AL10" i="23"/>
  <c r="R10" i="11"/>
  <c r="Q10" i="11"/>
  <c r="Y23" i="11"/>
  <c r="X23" i="11"/>
  <c r="W23" i="11"/>
  <c r="V23" i="11"/>
  <c r="U23" i="11"/>
  <c r="T23" i="11"/>
  <c r="S23" i="11"/>
  <c r="R23" i="11"/>
  <c r="Q23" i="11"/>
  <c r="P23" i="11"/>
  <c r="Y10" i="11"/>
  <c r="X10" i="11"/>
  <c r="W10" i="11"/>
  <c r="V10" i="11"/>
  <c r="U10" i="11"/>
  <c r="S10" i="11"/>
  <c r="F22" i="11"/>
  <c r="G20" i="23"/>
  <c r="V38" i="10" s="1"/>
  <c r="G19" i="23"/>
  <c r="U38" i="10" s="1"/>
  <c r="G18" i="23"/>
  <c r="T38" i="10" s="1"/>
  <c r="G9" i="23"/>
  <c r="U13" i="10" s="1"/>
  <c r="C7" i="23"/>
  <c r="S17" i="10" s="1"/>
  <c r="G8" i="23"/>
  <c r="T13" i="10" s="1"/>
  <c r="G11" i="23"/>
  <c r="W13" i="10" s="1"/>
  <c r="Z38" i="4"/>
  <c r="G12" i="23"/>
  <c r="X13" i="10" s="1"/>
  <c r="G14" i="23"/>
  <c r="P38" i="10" s="1"/>
  <c r="G10" i="23"/>
  <c r="V13" i="10" s="1"/>
  <c r="G13" i="23"/>
  <c r="Y13" i="10" s="1"/>
  <c r="G21" i="23"/>
  <c r="W38" i="10" s="1"/>
  <c r="G6" i="23"/>
  <c r="R13" i="10" s="1"/>
  <c r="AA44" i="4"/>
  <c r="Z44" i="4"/>
  <c r="X44" i="4"/>
  <c r="U44" i="4"/>
  <c r="T44" i="4"/>
  <c r="V44" i="4"/>
  <c r="W44" i="4"/>
  <c r="S44" i="4"/>
  <c r="AA21" i="4"/>
  <c r="X21" i="4"/>
  <c r="Y21" i="4"/>
  <c r="V21" i="4"/>
  <c r="W21" i="4"/>
  <c r="U21" i="4"/>
  <c r="S21" i="4"/>
  <c r="T21" i="4"/>
  <c r="G5" i="23"/>
  <c r="Y38" i="4"/>
  <c r="Z15" i="4"/>
  <c r="G22" i="23"/>
  <c r="X38" i="10" s="1"/>
  <c r="G23" i="23"/>
  <c r="Y38" i="10" s="1"/>
  <c r="G17" i="23"/>
  <c r="S38" i="10" s="1"/>
  <c r="G16" i="23"/>
  <c r="R38" i="10" s="1"/>
  <c r="G15" i="23"/>
  <c r="Q38" i="10" s="1"/>
  <c r="T9" i="11"/>
  <c r="AA38" i="4"/>
  <c r="U38" i="4"/>
  <c r="D4" i="23"/>
  <c r="P13" i="10"/>
  <c r="Y40" i="4"/>
  <c r="T40" i="4"/>
  <c r="Z17" i="4"/>
  <c r="V40" i="4"/>
  <c r="AB17" i="4"/>
  <c r="AA40" i="4"/>
  <c r="X18" i="10"/>
  <c r="P10" i="11"/>
  <c r="Q9" i="11"/>
  <c r="F21" i="11"/>
  <c r="M22" i="4"/>
  <c r="M45" i="4"/>
  <c r="S16" i="4"/>
  <c r="I23" i="23"/>
  <c r="Y41" i="10" s="1"/>
  <c r="Y39" i="10"/>
  <c r="I22" i="23"/>
  <c r="X41" i="10" s="1"/>
  <c r="X39" i="10"/>
  <c r="I21" i="23"/>
  <c r="W41" i="10" s="1"/>
  <c r="W39" i="10"/>
  <c r="I19" i="23"/>
  <c r="U41" i="10" s="1"/>
  <c r="U39" i="10"/>
  <c r="I5" i="23"/>
  <c r="Q16" i="10" s="1"/>
  <c r="I11" i="23"/>
  <c r="W16" i="10" s="1"/>
  <c r="W14" i="10"/>
  <c r="S17" i="4"/>
  <c r="H7" i="23"/>
  <c r="S18" i="10" s="1"/>
  <c r="E8" i="23"/>
  <c r="E16" i="23"/>
  <c r="E12" i="23"/>
  <c r="E23" i="23"/>
  <c r="E20" i="23"/>
  <c r="E4" i="23"/>
  <c r="H18" i="23"/>
  <c r="T43" i="10" s="1"/>
  <c r="H4" i="23"/>
  <c r="H8" i="23"/>
  <c r="T18" i="10" s="1"/>
  <c r="H16" i="23"/>
  <c r="R43" i="10" s="1"/>
  <c r="D13" i="23"/>
  <c r="E22" i="23"/>
  <c r="E17" i="23"/>
  <c r="D12" i="23"/>
  <c r="E21" i="23"/>
  <c r="D16" i="23"/>
  <c r="E5" i="23"/>
  <c r="D20" i="23"/>
  <c r="E9" i="23"/>
  <c r="E13" i="23"/>
  <c r="D8" i="23"/>
  <c r="T14" i="10" s="1"/>
  <c r="Z40" i="4"/>
  <c r="X40" i="4"/>
  <c r="W40" i="4"/>
  <c r="U40" i="4"/>
  <c r="S40" i="4"/>
  <c r="AA17" i="4"/>
  <c r="Y17" i="4"/>
  <c r="X17" i="4"/>
  <c r="W17" i="4"/>
  <c r="V17" i="4"/>
  <c r="U17" i="4"/>
  <c r="T17" i="4"/>
  <c r="AB40" i="4"/>
  <c r="D17" i="23"/>
  <c r="D9" i="23"/>
  <c r="E18" i="23"/>
  <c r="E14" i="23"/>
  <c r="E10" i="23"/>
  <c r="E6" i="23"/>
  <c r="D18" i="23"/>
  <c r="D14" i="23"/>
  <c r="D10" i="23"/>
  <c r="D6" i="23"/>
  <c r="R14" i="10" s="1"/>
  <c r="E19" i="23"/>
  <c r="E15" i="23"/>
  <c r="E11" i="23"/>
  <c r="E7" i="23"/>
  <c r="D15" i="23"/>
  <c r="D7" i="23"/>
  <c r="S14" i="10" s="1"/>
  <c r="X57" i="23"/>
  <c r="F20" i="11" l="1"/>
  <c r="E22" i="21" s="1"/>
  <c r="G22" i="21" s="1"/>
  <c r="P18" i="10"/>
  <c r="E28" i="21"/>
  <c r="E24" i="21"/>
  <c r="P14" i="10"/>
  <c r="E23" i="21"/>
  <c r="Q13" i="10"/>
  <c r="P15" i="10"/>
  <c r="T15" i="10"/>
  <c r="Q15" i="10"/>
  <c r="S15" i="10"/>
  <c r="R15" i="10"/>
  <c r="Y40" i="10"/>
  <c r="X40" i="10"/>
  <c r="W40" i="10"/>
  <c r="V40" i="10"/>
  <c r="U40" i="10"/>
  <c r="T40" i="10"/>
  <c r="S40" i="10"/>
  <c r="R40" i="10"/>
  <c r="Q40" i="10"/>
  <c r="P40" i="10"/>
  <c r="Y15" i="10"/>
  <c r="W15" i="10"/>
  <c r="V15" i="10"/>
  <c r="U15" i="10"/>
  <c r="AB15" i="4"/>
  <c r="T15" i="4"/>
  <c r="AB44" i="4"/>
  <c r="Y44" i="4"/>
  <c r="AB21" i="4"/>
  <c r="Z21" i="4"/>
  <c r="X38" i="4"/>
  <c r="AB38" i="4"/>
  <c r="W38" i="4"/>
  <c r="V38" i="4"/>
  <c r="T38" i="4"/>
  <c r="S38" i="4"/>
  <c r="AA15" i="4"/>
  <c r="Y15" i="4"/>
  <c r="X15" i="4"/>
  <c r="W15" i="4"/>
  <c r="V15" i="4"/>
  <c r="U15" i="4"/>
  <c r="C20" i="23"/>
  <c r="V42" i="10" s="1"/>
  <c r="C19" i="23"/>
  <c r="U42" i="10" s="1"/>
  <c r="C15" i="23"/>
  <c r="Q42" i="10" s="1"/>
  <c r="C12" i="23"/>
  <c r="X17" i="10" s="1"/>
  <c r="G7" i="23"/>
  <c r="S13" i="10" s="1"/>
  <c r="I4" i="23"/>
  <c r="F20" i="10"/>
  <c r="C28" i="32" s="1"/>
  <c r="P8" i="11"/>
  <c r="AP5" i="23"/>
  <c r="Q11" i="11" s="1"/>
  <c r="Q8" i="11"/>
  <c r="AP6" i="23"/>
  <c r="R11" i="11" s="1"/>
  <c r="R8" i="11"/>
  <c r="AP23" i="23"/>
  <c r="Y24" i="11" s="1"/>
  <c r="Y21" i="11"/>
  <c r="AP22" i="23"/>
  <c r="X24" i="11" s="1"/>
  <c r="X21" i="11"/>
  <c r="AP21" i="23"/>
  <c r="W24" i="11" s="1"/>
  <c r="W21" i="11"/>
  <c r="AP20" i="23"/>
  <c r="V24" i="11" s="1"/>
  <c r="V21" i="11"/>
  <c r="AP19" i="23"/>
  <c r="U24" i="11" s="1"/>
  <c r="U21" i="11"/>
  <c r="AP18" i="23"/>
  <c r="T24" i="11" s="1"/>
  <c r="T21" i="11"/>
  <c r="AP17" i="23"/>
  <c r="S24" i="11" s="1"/>
  <c r="S21" i="11"/>
  <c r="AP16" i="23"/>
  <c r="R24" i="11" s="1"/>
  <c r="R21" i="11"/>
  <c r="AP15" i="23"/>
  <c r="Q24" i="11" s="1"/>
  <c r="Q21" i="11"/>
  <c r="AP13" i="23"/>
  <c r="Y11" i="11" s="1"/>
  <c r="Y8" i="11"/>
  <c r="AP14" i="23"/>
  <c r="P24" i="11" s="1"/>
  <c r="P21" i="11"/>
  <c r="AP12" i="23"/>
  <c r="X11" i="11" s="1"/>
  <c r="X8" i="11"/>
  <c r="AP11" i="23"/>
  <c r="W11" i="11" s="1"/>
  <c r="W8" i="11"/>
  <c r="AP10" i="23"/>
  <c r="V11" i="11" s="1"/>
  <c r="V8" i="11"/>
  <c r="AP9" i="23"/>
  <c r="U11" i="11" s="1"/>
  <c r="U8" i="11"/>
  <c r="AP8" i="23"/>
  <c r="T11" i="11" s="1"/>
  <c r="T8" i="11"/>
  <c r="AP7" i="23"/>
  <c r="S11" i="11" s="1"/>
  <c r="S8" i="11"/>
  <c r="S19" i="4"/>
  <c r="AB39" i="4"/>
  <c r="AA39" i="4"/>
  <c r="Z39" i="4"/>
  <c r="Y39" i="4"/>
  <c r="X39" i="4"/>
  <c r="W39" i="4"/>
  <c r="V39" i="4"/>
  <c r="U39" i="4"/>
  <c r="T39" i="4"/>
  <c r="S39" i="4"/>
  <c r="AB16" i="4"/>
  <c r="AA16" i="4"/>
  <c r="Z16" i="4"/>
  <c r="Y16" i="4"/>
  <c r="X16" i="4"/>
  <c r="W16" i="4"/>
  <c r="V16" i="4"/>
  <c r="U16" i="4"/>
  <c r="T19" i="4"/>
  <c r="T16" i="4"/>
  <c r="I20" i="23"/>
  <c r="V41" i="10" s="1"/>
  <c r="V39" i="10"/>
  <c r="I15" i="23"/>
  <c r="Q41" i="10" s="1"/>
  <c r="Q39" i="10"/>
  <c r="I14" i="23"/>
  <c r="P41" i="10" s="1"/>
  <c r="P39" i="10"/>
  <c r="I17" i="23"/>
  <c r="S41" i="10" s="1"/>
  <c r="S39" i="10"/>
  <c r="I16" i="23"/>
  <c r="R41" i="10" s="1"/>
  <c r="R39" i="10"/>
  <c r="I18" i="23"/>
  <c r="T41" i="10" s="1"/>
  <c r="T39" i="10"/>
  <c r="I6" i="23"/>
  <c r="R16" i="10" s="1"/>
  <c r="I13" i="23"/>
  <c r="Y16" i="10" s="1"/>
  <c r="Y14" i="10"/>
  <c r="X15" i="10"/>
  <c r="I12" i="23"/>
  <c r="X16" i="10" s="1"/>
  <c r="X14" i="10"/>
  <c r="I10" i="23"/>
  <c r="V16" i="10" s="1"/>
  <c r="V14" i="10"/>
  <c r="I9" i="23"/>
  <c r="U16" i="10" s="1"/>
  <c r="U14" i="10"/>
  <c r="I8" i="23"/>
  <c r="T16" i="10" s="1"/>
  <c r="I7" i="23"/>
  <c r="S16" i="10" s="1"/>
  <c r="F16" i="10"/>
  <c r="C24" i="32" s="1"/>
  <c r="F17" i="10"/>
  <c r="F23" i="4"/>
  <c r="F18" i="4"/>
  <c r="F19" i="4"/>
  <c r="C21" i="23"/>
  <c r="W42" i="10" s="1"/>
  <c r="AP4" i="23"/>
  <c r="C22" i="23"/>
  <c r="X42" i="10" s="1"/>
  <c r="C13" i="23"/>
  <c r="Y17" i="10" s="1"/>
  <c r="C8" i="23"/>
  <c r="T17" i="10" s="1"/>
  <c r="C23" i="23"/>
  <c r="Y42" i="10" s="1"/>
  <c r="C11" i="23"/>
  <c r="W17" i="10" s="1"/>
  <c r="C16" i="23"/>
  <c r="R42" i="10" s="1"/>
  <c r="C17" i="23"/>
  <c r="S42" i="10" s="1"/>
  <c r="C9" i="23"/>
  <c r="U17" i="10" s="1"/>
  <c r="C6" i="23"/>
  <c r="R17" i="10" s="1"/>
  <c r="C18" i="23"/>
  <c r="T42" i="10" s="1"/>
  <c r="C5" i="23"/>
  <c r="C10" i="23"/>
  <c r="V17" i="10" s="1"/>
  <c r="C14" i="23"/>
  <c r="P42" i="10" s="1"/>
  <c r="R6" i="18"/>
  <c r="R7" i="18"/>
  <c r="R8" i="18"/>
  <c r="R9" i="18"/>
  <c r="R10" i="18"/>
  <c r="R11" i="18"/>
  <c r="R12" i="18"/>
  <c r="R13" i="18"/>
  <c r="R14" i="18"/>
  <c r="R15" i="18"/>
  <c r="R16" i="18"/>
  <c r="R17" i="18"/>
  <c r="R18" i="18"/>
  <c r="R19" i="18"/>
  <c r="R20" i="18"/>
  <c r="R21" i="18"/>
  <c r="R22" i="18"/>
  <c r="R23" i="18"/>
  <c r="R24" i="18"/>
  <c r="F19" i="10" l="1"/>
  <c r="E26" i="21"/>
  <c r="C8" i="32"/>
  <c r="F18" i="10"/>
  <c r="E29" i="21"/>
  <c r="G29" i="21" s="1"/>
  <c r="F15" i="10"/>
  <c r="C23" i="32" s="1"/>
  <c r="E23" i="32" s="1"/>
  <c r="Q17" i="10"/>
  <c r="P16" i="10"/>
  <c r="AB42" i="4"/>
  <c r="AA42" i="4"/>
  <c r="Z42" i="4"/>
  <c r="X42" i="4"/>
  <c r="Y42" i="4"/>
  <c r="S42" i="4"/>
  <c r="W42" i="4"/>
  <c r="V42" i="4"/>
  <c r="T42" i="4"/>
  <c r="U42" i="4"/>
  <c r="AB19" i="4"/>
  <c r="Z19" i="4"/>
  <c r="AA19" i="4"/>
  <c r="Y19" i="4"/>
  <c r="X19" i="4"/>
  <c r="W19" i="4"/>
  <c r="V19" i="4"/>
  <c r="U19" i="4"/>
  <c r="S15" i="4"/>
  <c r="F17" i="4"/>
  <c r="K24" i="32" s="1"/>
  <c r="M24" i="32" s="1"/>
  <c r="E24" i="32"/>
  <c r="C25" i="32"/>
  <c r="P11" i="11"/>
  <c r="F23" i="11"/>
  <c r="R5" i="18"/>
  <c r="K25" i="32"/>
  <c r="M25" i="32" s="1"/>
  <c r="K26" i="32"/>
  <c r="M26" i="32" s="1"/>
  <c r="Z39" i="9"/>
  <c r="AB17" i="9"/>
  <c r="T17" i="9"/>
  <c r="V43" i="9"/>
  <c r="X21" i="9"/>
  <c r="Y39" i="9"/>
  <c r="W21" i="9"/>
  <c r="X39" i="9"/>
  <c r="Z17" i="9"/>
  <c r="AB43" i="9"/>
  <c r="T43" i="9"/>
  <c r="V21" i="9"/>
  <c r="U17" i="9"/>
  <c r="U43" i="9"/>
  <c r="W39" i="9"/>
  <c r="Y17" i="9"/>
  <c r="AA43" i="9"/>
  <c r="S43" i="9"/>
  <c r="U21" i="9"/>
  <c r="S39" i="9"/>
  <c r="Y21" i="9"/>
  <c r="V39" i="9"/>
  <c r="X17" i="9"/>
  <c r="Z43" i="9"/>
  <c r="AB21" i="9"/>
  <c r="T21" i="9"/>
  <c r="U39" i="9"/>
  <c r="W17" i="9"/>
  <c r="Y43" i="9"/>
  <c r="AA21" i="9"/>
  <c r="AA39" i="9"/>
  <c r="W43" i="9"/>
  <c r="AA17" i="9"/>
  <c r="AB39" i="9"/>
  <c r="T39" i="9"/>
  <c r="V17" i="9"/>
  <c r="X43" i="9"/>
  <c r="Z21" i="9"/>
  <c r="C15" i="32" l="1"/>
  <c r="R5" i="23"/>
  <c r="T15" i="9" s="1"/>
  <c r="R4" i="23"/>
  <c r="R18" i="23"/>
  <c r="W37" i="9" s="1"/>
  <c r="R22" i="23"/>
  <c r="AA37" i="9" s="1"/>
  <c r="R19" i="23"/>
  <c r="X37" i="9" s="1"/>
  <c r="R15" i="23"/>
  <c r="T37" i="9" s="1"/>
  <c r="R14" i="23"/>
  <c r="S37" i="9" s="1"/>
  <c r="R7" i="23"/>
  <c r="V15" i="9" s="1"/>
  <c r="R13" i="23"/>
  <c r="AB15" i="9" s="1"/>
  <c r="R17" i="23"/>
  <c r="V37" i="9" s="1"/>
  <c r="R6" i="23"/>
  <c r="U15" i="9" s="1"/>
  <c r="R11" i="23"/>
  <c r="Z15" i="9" s="1"/>
  <c r="R12" i="23"/>
  <c r="AA15" i="9" s="1"/>
  <c r="R23" i="23"/>
  <c r="AB37" i="9" s="1"/>
  <c r="R20" i="23"/>
  <c r="Y37" i="9" s="1"/>
  <c r="R8" i="23"/>
  <c r="W15" i="9" s="1"/>
  <c r="R10" i="23"/>
  <c r="Y15" i="9" s="1"/>
  <c r="R9" i="23"/>
  <c r="X15" i="9" s="1"/>
  <c r="R21" i="23"/>
  <c r="Z37" i="9" s="1"/>
  <c r="R16" i="23"/>
  <c r="U37" i="9" s="1"/>
  <c r="C27" i="32"/>
  <c r="E27" i="32" s="1"/>
  <c r="E28" i="32"/>
  <c r="C26" i="32"/>
  <c r="E26" i="32" s="1"/>
  <c r="C10" i="32"/>
  <c r="K28" i="32"/>
  <c r="M28" i="32" s="1"/>
  <c r="C9" i="32"/>
  <c r="E9" i="32" s="1"/>
  <c r="S17" i="9"/>
  <c r="S16" i="9"/>
  <c r="AB41" i="9"/>
  <c r="AB38" i="9"/>
  <c r="AA41" i="9"/>
  <c r="AA38" i="9"/>
  <c r="Z41" i="9"/>
  <c r="Z38" i="9"/>
  <c r="Y41" i="9"/>
  <c r="Y38" i="9"/>
  <c r="X41" i="9"/>
  <c r="X38" i="9"/>
  <c r="W41" i="9"/>
  <c r="W38" i="9"/>
  <c r="V41" i="9"/>
  <c r="V38" i="9"/>
  <c r="U41" i="9"/>
  <c r="U38" i="9"/>
  <c r="T41" i="9"/>
  <c r="T38" i="9"/>
  <c r="S41" i="9"/>
  <c r="S38" i="9"/>
  <c r="AB19" i="9"/>
  <c r="AB16" i="9"/>
  <c r="AA19" i="9"/>
  <c r="AA16" i="9"/>
  <c r="Z19" i="9"/>
  <c r="Z16" i="9"/>
  <c r="Y19" i="9"/>
  <c r="Y16" i="9"/>
  <c r="X19" i="9"/>
  <c r="X16" i="9"/>
  <c r="W19" i="9"/>
  <c r="W16" i="9"/>
  <c r="V19" i="9"/>
  <c r="V16" i="9"/>
  <c r="U19" i="9"/>
  <c r="U16" i="9"/>
  <c r="T19" i="9"/>
  <c r="T16" i="9"/>
  <c r="E25" i="32"/>
  <c r="F17" i="9"/>
  <c r="F18" i="9"/>
  <c r="F22" i="9"/>
  <c r="H6" i="19"/>
  <c r="H7" i="19"/>
  <c r="H8" i="19"/>
  <c r="I8" i="19"/>
  <c r="H9" i="19"/>
  <c r="H10" i="19"/>
  <c r="H11" i="19"/>
  <c r="G49" i="19" s="1"/>
  <c r="H49" i="19" s="1"/>
  <c r="I11" i="19"/>
  <c r="H12" i="19"/>
  <c r="I12" i="19"/>
  <c r="J12" i="19" s="1"/>
  <c r="H13" i="19"/>
  <c r="H14" i="19"/>
  <c r="I14" i="19" s="1"/>
  <c r="H15" i="19"/>
  <c r="H16" i="19"/>
  <c r="I16" i="19"/>
  <c r="H17" i="19"/>
  <c r="H18" i="19"/>
  <c r="H19" i="19"/>
  <c r="G57" i="19" s="1"/>
  <c r="H57" i="19" s="1"/>
  <c r="I19" i="19"/>
  <c r="H20" i="19"/>
  <c r="I20" i="19"/>
  <c r="J20" i="19" s="1"/>
  <c r="H21" i="19"/>
  <c r="H22" i="19"/>
  <c r="I22" i="19" s="1"/>
  <c r="H23" i="19"/>
  <c r="I23" i="19" s="1"/>
  <c r="I24" i="19"/>
  <c r="I6" i="19" s="1"/>
  <c r="H25" i="19"/>
  <c r="H26" i="19"/>
  <c r="H27" i="19"/>
  <c r="H28" i="19"/>
  <c r="H29" i="19"/>
  <c r="I30" i="19"/>
  <c r="G31" i="19"/>
  <c r="H31" i="19"/>
  <c r="G32" i="19"/>
  <c r="H32" i="19"/>
  <c r="I32" i="19"/>
  <c r="G34" i="19"/>
  <c r="H34" i="19"/>
  <c r="I34" i="19"/>
  <c r="G35" i="19"/>
  <c r="H35" i="19"/>
  <c r="G36" i="19"/>
  <c r="H36" i="19"/>
  <c r="I36" i="19"/>
  <c r="G37" i="19"/>
  <c r="H37" i="19"/>
  <c r="I38" i="19"/>
  <c r="G39" i="19"/>
  <c r="H39" i="19"/>
  <c r="G40" i="19"/>
  <c r="H40" i="19"/>
  <c r="I40" i="19"/>
  <c r="G42" i="19"/>
  <c r="H42" i="19"/>
  <c r="I42" i="19"/>
  <c r="I43" i="19"/>
  <c r="I25" i="19" s="1"/>
  <c r="G44" i="19"/>
  <c r="H44" i="19" s="1"/>
  <c r="G45" i="19"/>
  <c r="H45" i="19"/>
  <c r="G46" i="19"/>
  <c r="H46" i="19"/>
  <c r="G47" i="19"/>
  <c r="H47" i="19"/>
  <c r="I47" i="19"/>
  <c r="G48" i="19"/>
  <c r="H48" i="19" s="1"/>
  <c r="G50" i="19"/>
  <c r="H50" i="19"/>
  <c r="I50" i="19"/>
  <c r="G51" i="19"/>
  <c r="H51" i="19" s="1"/>
  <c r="I51" i="19"/>
  <c r="G53" i="19"/>
  <c r="H53" i="19"/>
  <c r="I53" i="19"/>
  <c r="G54" i="19"/>
  <c r="H54" i="19"/>
  <c r="G55" i="19"/>
  <c r="H55" i="19" s="1"/>
  <c r="I55" i="19"/>
  <c r="G56" i="19"/>
  <c r="H56" i="19" s="1"/>
  <c r="G58" i="19"/>
  <c r="H58" i="19"/>
  <c r="I58" i="19"/>
  <c r="G59" i="19"/>
  <c r="H59" i="19" s="1"/>
  <c r="I59" i="19"/>
  <c r="G61" i="19"/>
  <c r="H61" i="19"/>
  <c r="I61" i="19"/>
  <c r="I62" i="19"/>
  <c r="I45" i="19" s="1"/>
  <c r="C7" i="10"/>
  <c r="Q33" i="10"/>
  <c r="R33" i="10"/>
  <c r="S33" i="10"/>
  <c r="T33" i="10"/>
  <c r="U33" i="10"/>
  <c r="V33" i="10"/>
  <c r="W33" i="10"/>
  <c r="X33" i="10"/>
  <c r="P8" i="10"/>
  <c r="Q8" i="10"/>
  <c r="R8" i="10"/>
  <c r="S8" i="10"/>
  <c r="T8" i="10"/>
  <c r="U8" i="10"/>
  <c r="V8" i="10"/>
  <c r="W8" i="10"/>
  <c r="X8" i="10"/>
  <c r="Y8" i="10"/>
  <c r="P33" i="10"/>
  <c r="Q32" i="10"/>
  <c r="R32" i="10"/>
  <c r="S32" i="10"/>
  <c r="T32" i="10"/>
  <c r="U32" i="10"/>
  <c r="V32" i="10"/>
  <c r="W32" i="10"/>
  <c r="X32" i="10"/>
  <c r="Y32" i="10"/>
  <c r="P7" i="10"/>
  <c r="Q7" i="10"/>
  <c r="R7" i="10"/>
  <c r="S7" i="10"/>
  <c r="T7" i="10"/>
  <c r="U7" i="10"/>
  <c r="V7" i="10"/>
  <c r="W7" i="10"/>
  <c r="X7" i="10"/>
  <c r="Y7" i="10"/>
  <c r="P32" i="10"/>
  <c r="K41" i="32"/>
  <c r="M41" i="32" s="1"/>
  <c r="Y20" i="11"/>
  <c r="X20" i="11"/>
  <c r="W20" i="11"/>
  <c r="V20" i="11"/>
  <c r="U20" i="11"/>
  <c r="T20" i="11"/>
  <c r="S20" i="11"/>
  <c r="R20" i="11"/>
  <c r="Q20" i="11"/>
  <c r="P20" i="11"/>
  <c r="Y19" i="11"/>
  <c r="X19" i="11"/>
  <c r="W19" i="11"/>
  <c r="V19" i="11"/>
  <c r="U19" i="11"/>
  <c r="T19" i="11"/>
  <c r="S19" i="11"/>
  <c r="R19" i="11"/>
  <c r="Q19" i="11"/>
  <c r="P19" i="11"/>
  <c r="Y7" i="11"/>
  <c r="X7" i="11"/>
  <c r="W7" i="11"/>
  <c r="V7" i="11"/>
  <c r="U7" i="11"/>
  <c r="T7" i="11"/>
  <c r="S7" i="11"/>
  <c r="R7" i="11"/>
  <c r="Q7" i="11"/>
  <c r="P7" i="11"/>
  <c r="Y6" i="11"/>
  <c r="X6" i="11"/>
  <c r="W6" i="11"/>
  <c r="V6" i="11"/>
  <c r="U6" i="11"/>
  <c r="S6" i="11"/>
  <c r="R6" i="11"/>
  <c r="Q6" i="11"/>
  <c r="P6" i="11"/>
  <c r="C9" i="11"/>
  <c r="C6" i="11"/>
  <c r="C5" i="11"/>
  <c r="C4" i="11"/>
  <c r="C6" i="10"/>
  <c r="C3" i="10"/>
  <c r="C2" i="10"/>
  <c r="C1" i="10"/>
  <c r="S15" i="9" l="1"/>
  <c r="E21" i="21"/>
  <c r="S19" i="9"/>
  <c r="C14" i="32"/>
  <c r="E14" i="32" s="1"/>
  <c r="C43" i="32"/>
  <c r="E43" i="32" s="1"/>
  <c r="C41" i="32"/>
  <c r="E41" i="32" s="1"/>
  <c r="C40" i="32"/>
  <c r="G24" i="21"/>
  <c r="G28" i="21"/>
  <c r="G23" i="21"/>
  <c r="E8" i="32"/>
  <c r="J34" i="19"/>
  <c r="J22" i="19"/>
  <c r="J36" i="19"/>
  <c r="J23" i="19"/>
  <c r="J24" i="19"/>
  <c r="I60" i="19"/>
  <c r="I52" i="19"/>
  <c r="I44" i="19"/>
  <c r="G38" i="19"/>
  <c r="H38" i="19" s="1"/>
  <c r="G30" i="19"/>
  <c r="H30" i="19" s="1"/>
  <c r="I27" i="19"/>
  <c r="I21" i="19"/>
  <c r="J21" i="19" s="1"/>
  <c r="I13" i="19"/>
  <c r="J13" i="19" s="1"/>
  <c r="I57" i="19"/>
  <c r="I49" i="19"/>
  <c r="I18" i="19"/>
  <c r="J18" i="19" s="1"/>
  <c r="I10" i="19"/>
  <c r="G60" i="19"/>
  <c r="H60" i="19" s="1"/>
  <c r="I54" i="19"/>
  <c r="G52" i="19"/>
  <c r="H52" i="19" s="1"/>
  <c r="I46" i="19"/>
  <c r="I41" i="19"/>
  <c r="J41" i="19" s="1"/>
  <c r="I39" i="19"/>
  <c r="J39" i="19" s="1"/>
  <c r="I37" i="19"/>
  <c r="J37" i="19" s="1"/>
  <c r="I35" i="19"/>
  <c r="J35" i="19" s="1"/>
  <c r="I33" i="19"/>
  <c r="J33" i="19" s="1"/>
  <c r="I31" i="19"/>
  <c r="J31" i="19" s="1"/>
  <c r="I29" i="19"/>
  <c r="I15" i="19"/>
  <c r="I7" i="19"/>
  <c r="J43" i="19"/>
  <c r="I26" i="19"/>
  <c r="J26" i="19" s="1"/>
  <c r="I56" i="19"/>
  <c r="I48" i="19"/>
  <c r="G41" i="19"/>
  <c r="H41" i="19" s="1"/>
  <c r="G33" i="19"/>
  <c r="H33" i="19" s="1"/>
  <c r="I17" i="19"/>
  <c r="J17" i="19" s="1"/>
  <c r="I9" i="19"/>
  <c r="J9" i="19" s="1"/>
  <c r="I28" i="19"/>
  <c r="J28" i="19" s="1"/>
  <c r="AB28" i="9"/>
  <c r="AB33" i="9" s="1"/>
  <c r="AA28" i="9"/>
  <c r="AA33" i="9" s="1"/>
  <c r="Z28" i="9"/>
  <c r="Z33" i="9" s="1"/>
  <c r="Y28" i="9"/>
  <c r="Y33" i="9" s="1"/>
  <c r="X28" i="9"/>
  <c r="X33" i="9" s="1"/>
  <c r="W28" i="9"/>
  <c r="W33" i="9" s="1"/>
  <c r="V28" i="9"/>
  <c r="V33" i="9" s="1"/>
  <c r="U28" i="9"/>
  <c r="U33" i="9" s="1"/>
  <c r="T28" i="9"/>
  <c r="T33" i="9" s="1"/>
  <c r="S28" i="9"/>
  <c r="S33" i="9" s="1"/>
  <c r="AB27" i="9"/>
  <c r="AA27" i="9"/>
  <c r="Z27" i="9"/>
  <c r="Y27" i="9"/>
  <c r="X27" i="9"/>
  <c r="W27" i="9"/>
  <c r="V27" i="9"/>
  <c r="U27" i="9"/>
  <c r="T27" i="9"/>
  <c r="C6" i="9"/>
  <c r="C3" i="9"/>
  <c r="C12" i="32" l="1"/>
  <c r="E12" i="32" s="1"/>
  <c r="E40" i="32"/>
  <c r="J40" i="19"/>
  <c r="J7" i="19"/>
  <c r="J8" i="19"/>
  <c r="J16" i="19"/>
  <c r="J15" i="19"/>
  <c r="J29" i="19"/>
  <c r="J42" i="19"/>
  <c r="J27" i="19"/>
  <c r="J19" i="19"/>
  <c r="J30" i="19"/>
  <c r="J14" i="19"/>
  <c r="J38" i="19"/>
  <c r="J10" i="19"/>
  <c r="J32" i="19"/>
  <c r="J11" i="19"/>
  <c r="K39" i="32" l="1"/>
  <c r="M39" i="32" s="1"/>
  <c r="S28" i="4" l="1"/>
  <c r="AB29" i="4"/>
  <c r="AB34" i="4" s="1"/>
  <c r="AA29" i="4"/>
  <c r="AA34" i="4" s="1"/>
  <c r="Z29" i="4"/>
  <c r="Z34" i="4" s="1"/>
  <c r="Y29" i="4"/>
  <c r="Y34" i="4" s="1"/>
  <c r="X29" i="4"/>
  <c r="X34" i="4" s="1"/>
  <c r="W29" i="4"/>
  <c r="W34" i="4" s="1"/>
  <c r="V29" i="4"/>
  <c r="V34" i="4" s="1"/>
  <c r="U29" i="4"/>
  <c r="U34" i="4" s="1"/>
  <c r="T29" i="4"/>
  <c r="T34" i="4" s="1"/>
  <c r="S29" i="4"/>
  <c r="S34" i="4" s="1"/>
  <c r="AB6" i="4"/>
  <c r="AB11" i="4" s="1"/>
  <c r="AA6" i="4"/>
  <c r="AA11" i="4" s="1"/>
  <c r="Z6" i="4"/>
  <c r="Z11" i="4" s="1"/>
  <c r="Y6" i="4"/>
  <c r="Y11" i="4" s="1"/>
  <c r="AB28" i="4"/>
  <c r="AA28" i="4"/>
  <c r="Z28" i="4"/>
  <c r="Y28" i="4"/>
  <c r="X28" i="4"/>
  <c r="W28" i="4"/>
  <c r="V28" i="4"/>
  <c r="U28" i="4"/>
  <c r="T28" i="4"/>
  <c r="AB5" i="4"/>
  <c r="AA5" i="4"/>
  <c r="Z5" i="4"/>
  <c r="Y5" i="4"/>
  <c r="X5" i="4"/>
  <c r="W5" i="4"/>
  <c r="V5" i="4"/>
  <c r="U5" i="4"/>
  <c r="T5" i="4"/>
  <c r="X6" i="4"/>
  <c r="X11" i="4" s="1"/>
  <c r="W6" i="4"/>
  <c r="W11" i="4" s="1"/>
  <c r="V6" i="4"/>
  <c r="V11" i="4" s="1"/>
  <c r="U6" i="4"/>
  <c r="U11" i="4" s="1"/>
  <c r="T6" i="4"/>
  <c r="T11" i="4" s="1"/>
  <c r="S6" i="4"/>
  <c r="S11" i="4" s="1"/>
  <c r="S5" i="4"/>
  <c r="C6" i="4" l="1"/>
  <c r="C3" i="4"/>
  <c r="C2" i="4"/>
  <c r="K40" i="32" l="1"/>
  <c r="M40" i="32" s="1"/>
  <c r="K37" i="32" l="1"/>
  <c r="M37" i="32" s="1"/>
  <c r="K38" i="32" l="1"/>
  <c r="M38" i="32" s="1"/>
  <c r="P39" i="32" s="1"/>
  <c r="P21" i="32" l="1"/>
  <c r="P23" i="32" s="1"/>
  <c r="H21" i="32"/>
  <c r="H23" i="32" s="1"/>
  <c r="P36" i="32"/>
  <c r="P40" i="32" s="1"/>
  <c r="C8" i="9" a="1"/>
  <c r="C8" i="9" s="1"/>
  <c r="H36" i="32"/>
  <c r="H38" i="32" s="1"/>
  <c r="C11" i="11" a="1"/>
  <c r="C11" i="11" s="1"/>
  <c r="C12" i="11" s="1"/>
  <c r="U15" i="1"/>
  <c r="C10" i="21" s="1"/>
  <c r="C11" i="21" l="1"/>
  <c r="P38" i="32"/>
  <c r="P41" i="32" s="1"/>
  <c r="H4" i="32"/>
  <c r="H6" i="32" s="1"/>
  <c r="C7" i="21"/>
  <c r="AA23" i="24" a="1"/>
  <c r="AA23" i="24" s="1"/>
  <c r="AA21" i="24"/>
  <c r="C8" i="11"/>
  <c r="C5" i="10"/>
  <c r="C9" i="10"/>
  <c r="C9" i="9"/>
  <c r="C5" i="4"/>
  <c r="U14" i="1"/>
  <c r="V44" i="10" l="1"/>
  <c r="S44" i="10"/>
  <c r="P44" i="10"/>
  <c r="Y19" i="10"/>
  <c r="Y44" i="10"/>
  <c r="S45" i="10" l="1"/>
  <c r="S46" i="10"/>
  <c r="V45" i="10"/>
  <c r="V46" i="10"/>
  <c r="Y45" i="10"/>
  <c r="Y46" i="10"/>
  <c r="P45" i="10"/>
  <c r="P46" i="10"/>
  <c r="Y20" i="10"/>
  <c r="Y21" i="10"/>
  <c r="O10" i="23"/>
  <c r="O9" i="23"/>
  <c r="O4" i="23"/>
  <c r="V36" i="4"/>
  <c r="Z36" i="4"/>
  <c r="T19" i="10"/>
  <c r="T12" i="10"/>
  <c r="S19" i="10"/>
  <c r="E36" i="9"/>
  <c r="Y12" i="10"/>
  <c r="Y9" i="10" s="1"/>
  <c r="Y37" i="10"/>
  <c r="Y34" i="10" s="1"/>
  <c r="P37" i="10"/>
  <c r="P34" i="10" s="1"/>
  <c r="S37" i="10"/>
  <c r="S34" i="10" s="1"/>
  <c r="V37" i="10"/>
  <c r="V34" i="10" s="1"/>
  <c r="J20" i="18"/>
  <c r="Q19" i="23" s="1"/>
  <c r="U19" i="23" s="1" a="1"/>
  <c r="U19" i="23" s="1"/>
  <c r="J14" i="18"/>
  <c r="Q13" i="23" s="1"/>
  <c r="U13" i="23" s="1" a="1"/>
  <c r="U13" i="23" s="1"/>
  <c r="J22" i="18"/>
  <c r="Q21" i="23" s="1"/>
  <c r="U21" i="23" s="1" a="1"/>
  <c r="U21" i="23" s="1"/>
  <c r="J19" i="18"/>
  <c r="Q18" i="23" s="1"/>
  <c r="U18" i="23" s="1" a="1"/>
  <c r="U18" i="23" s="1"/>
  <c r="J21" i="18"/>
  <c r="Q20" i="23" s="1"/>
  <c r="U20" i="23" s="1" a="1"/>
  <c r="U20" i="23" s="1"/>
  <c r="V19" i="10"/>
  <c r="X44" i="10"/>
  <c r="R44" i="10"/>
  <c r="Q44" i="10"/>
  <c r="W19" i="10"/>
  <c r="Q12" i="10"/>
  <c r="U44" i="10"/>
  <c r="J18" i="18"/>
  <c r="Q17" i="23" s="1"/>
  <c r="U17" i="23" s="1" a="1"/>
  <c r="U17" i="23" s="1"/>
  <c r="J13" i="18"/>
  <c r="Q12" i="23" s="1"/>
  <c r="U12" i="23" s="1" a="1"/>
  <c r="U12" i="23" s="1"/>
  <c r="W44" i="10"/>
  <c r="AB36" i="4"/>
  <c r="T44" i="10"/>
  <c r="J23" i="18"/>
  <c r="Q22" i="23" s="1"/>
  <c r="U22" i="23" s="1" a="1"/>
  <c r="U22" i="23" s="1"/>
  <c r="J15" i="18"/>
  <c r="Q14" i="23" s="1"/>
  <c r="U14" i="23" s="1" a="1"/>
  <c r="U14" i="23" s="1"/>
  <c r="J24" i="18"/>
  <c r="Q23" i="23" s="1"/>
  <c r="U23" i="23" s="1" a="1"/>
  <c r="U23" i="23" s="1"/>
  <c r="J9" i="18"/>
  <c r="Q8" i="23" s="1"/>
  <c r="U8" i="23" s="1" a="1"/>
  <c r="U8" i="23" s="1"/>
  <c r="J11" i="18"/>
  <c r="Q10" i="23" s="1"/>
  <c r="U10" i="23" s="1" a="1"/>
  <c r="U10" i="23" s="1"/>
  <c r="J17" i="18"/>
  <c r="Q16" i="23" s="1"/>
  <c r="U16" i="23" s="1" a="1"/>
  <c r="U16" i="23" s="1"/>
  <c r="J10" i="18"/>
  <c r="J16" i="18"/>
  <c r="Q15" i="23" s="1"/>
  <c r="U15" i="23" s="1" a="1"/>
  <c r="U15" i="23" s="1"/>
  <c r="J12" i="18"/>
  <c r="Q11" i="23" s="1"/>
  <c r="U11" i="23" s="1" a="1"/>
  <c r="U11" i="23" s="1"/>
  <c r="R45" i="10" l="1"/>
  <c r="R46" i="10"/>
  <c r="X45" i="10"/>
  <c r="X46" i="10"/>
  <c r="T45" i="10"/>
  <c r="T46" i="10"/>
  <c r="U45" i="10"/>
  <c r="U46" i="10"/>
  <c r="Q45" i="10"/>
  <c r="Q46" i="10"/>
  <c r="W45" i="10"/>
  <c r="W46" i="10"/>
  <c r="S20" i="10"/>
  <c r="S21" i="10"/>
  <c r="T20" i="10"/>
  <c r="T21" i="10"/>
  <c r="W20" i="10"/>
  <c r="W21" i="10"/>
  <c r="V20" i="10"/>
  <c r="V21" i="10"/>
  <c r="S9" i="10"/>
  <c r="T9" i="10"/>
  <c r="T45" i="4"/>
  <c r="T46" i="4" s="1"/>
  <c r="AB45" i="4"/>
  <c r="AB46" i="4" s="1"/>
  <c r="X45" i="4"/>
  <c r="X46" i="4" s="1"/>
  <c r="O8" i="23"/>
  <c r="W13" i="9" s="1"/>
  <c r="O12" i="23"/>
  <c r="AA13" i="9" s="1"/>
  <c r="O13" i="23"/>
  <c r="AB13" i="9" s="1"/>
  <c r="O15" i="23"/>
  <c r="T35" i="9" s="1"/>
  <c r="O19" i="23"/>
  <c r="X35" i="9" s="1"/>
  <c r="O22" i="23"/>
  <c r="AA35" i="9" s="1"/>
  <c r="O20" i="23"/>
  <c r="Y35" i="9" s="1"/>
  <c r="O16" i="23"/>
  <c r="U35" i="9" s="1"/>
  <c r="O18" i="23"/>
  <c r="W35" i="9" s="1"/>
  <c r="O17" i="23"/>
  <c r="V35" i="9" s="1"/>
  <c r="O14" i="23"/>
  <c r="S35" i="9" s="1"/>
  <c r="O23" i="23"/>
  <c r="AB35" i="9" s="1"/>
  <c r="O11" i="23"/>
  <c r="Z13" i="9" s="1"/>
  <c r="Q9" i="23"/>
  <c r="U9" i="23" s="1" a="1"/>
  <c r="U9" i="23" s="1"/>
  <c r="O21" i="23"/>
  <c r="Z35" i="9" s="1"/>
  <c r="P4" i="23"/>
  <c r="Q4" i="23"/>
  <c r="U4" i="23" s="1" a="1"/>
  <c r="U4" i="23" s="1"/>
  <c r="AA13" i="4"/>
  <c r="Y36" i="4"/>
  <c r="W36" i="4"/>
  <c r="U36" i="4"/>
  <c r="S36" i="4"/>
  <c r="Z13" i="4"/>
  <c r="Y13" i="4"/>
  <c r="X13" i="4"/>
  <c r="J6" i="18"/>
  <c r="AB13" i="4"/>
  <c r="W13" i="4"/>
  <c r="R19" i="10"/>
  <c r="U19" i="10"/>
  <c r="U12" i="10"/>
  <c r="Q19" i="10"/>
  <c r="J7" i="18"/>
  <c r="J8" i="18"/>
  <c r="V13" i="4"/>
  <c r="W22" i="9"/>
  <c r="W23" i="9" s="1"/>
  <c r="X19" i="10"/>
  <c r="W9" i="10"/>
  <c r="V9" i="10"/>
  <c r="AB37" i="4"/>
  <c r="AB30" i="4" s="1"/>
  <c r="X37" i="4"/>
  <c r="X30" i="4" s="1"/>
  <c r="T37" i="4"/>
  <c r="T30" i="4" s="1"/>
  <c r="AB36" i="9"/>
  <c r="AB29" i="9" s="1"/>
  <c r="AB44" i="9"/>
  <c r="AB45" i="9" s="1"/>
  <c r="AA44" i="9"/>
  <c r="AA45" i="9" s="1"/>
  <c r="AA36" i="9"/>
  <c r="AA29" i="9" s="1"/>
  <c r="Z44" i="9"/>
  <c r="Z45" i="9" s="1"/>
  <c r="Z36" i="9"/>
  <c r="Z29" i="9" s="1"/>
  <c r="Y36" i="9"/>
  <c r="Y29" i="9" s="1"/>
  <c r="Y44" i="9"/>
  <c r="Y45" i="9" s="1"/>
  <c r="X44" i="9"/>
  <c r="X45" i="9" s="1"/>
  <c r="X36" i="9"/>
  <c r="X29" i="9" s="1"/>
  <c r="W44" i="9"/>
  <c r="W45" i="9" s="1"/>
  <c r="W36" i="9"/>
  <c r="W29" i="9" s="1"/>
  <c r="V44" i="9"/>
  <c r="V45" i="9" s="1"/>
  <c r="V36" i="9"/>
  <c r="V29" i="9" s="1"/>
  <c r="U36" i="9"/>
  <c r="U29" i="9" s="1"/>
  <c r="U44" i="9"/>
  <c r="U45" i="9" s="1"/>
  <c r="T36" i="9"/>
  <c r="T29" i="9" s="1"/>
  <c r="T44" i="9"/>
  <c r="T45" i="9" s="1"/>
  <c r="S36" i="9"/>
  <c r="S29" i="9" s="1"/>
  <c r="S44" i="9"/>
  <c r="S45" i="9" s="1"/>
  <c r="AB14" i="9"/>
  <c r="AB7" i="9" s="1"/>
  <c r="AB22" i="9"/>
  <c r="AB23" i="9" s="1"/>
  <c r="AA14" i="9"/>
  <c r="AA7" i="9" s="1"/>
  <c r="AA22" i="9"/>
  <c r="AA23" i="9" s="1"/>
  <c r="Z22" i="9"/>
  <c r="Z23" i="9" s="1"/>
  <c r="Z14" i="9"/>
  <c r="Z7" i="9" s="1"/>
  <c r="Y22" i="9"/>
  <c r="Y23" i="9" s="1"/>
  <c r="Y14" i="9"/>
  <c r="Y7" i="9" s="1"/>
  <c r="W14" i="9"/>
  <c r="W7" i="9" s="1"/>
  <c r="X37" i="10"/>
  <c r="X34" i="10" s="1"/>
  <c r="T37" i="10"/>
  <c r="T34" i="10" s="1"/>
  <c r="U37" i="10"/>
  <c r="U34" i="10" s="1"/>
  <c r="Q37" i="10"/>
  <c r="Q34" i="10" s="1"/>
  <c r="R37" i="10"/>
  <c r="R34" i="10" s="1"/>
  <c r="W37" i="10"/>
  <c r="W34" i="10" s="1"/>
  <c r="X12" i="10"/>
  <c r="L14" i="18"/>
  <c r="L20" i="18"/>
  <c r="P19" i="23" s="1"/>
  <c r="L19" i="18"/>
  <c r="L23" i="18"/>
  <c r="P22" i="23" s="1"/>
  <c r="L22" i="18"/>
  <c r="P21" i="23" s="1"/>
  <c r="L18" i="18"/>
  <c r="P17" i="23" s="1"/>
  <c r="AA36" i="4"/>
  <c r="L21" i="18"/>
  <c r="P20" i="23" s="1"/>
  <c r="L15" i="18"/>
  <c r="P14" i="23" s="1"/>
  <c r="T36" i="4"/>
  <c r="X36" i="4"/>
  <c r="L13" i="18"/>
  <c r="P12" i="23" s="1"/>
  <c r="L24" i="18"/>
  <c r="P23" i="23" s="1"/>
  <c r="L9" i="18"/>
  <c r="Y13" i="9"/>
  <c r="L10" i="18"/>
  <c r="P9" i="23" s="1"/>
  <c r="L17" i="18"/>
  <c r="P16" i="23" s="1"/>
  <c r="L12" i="18"/>
  <c r="P11" i="23" s="1"/>
  <c r="L16" i="18"/>
  <c r="P15" i="23" s="1"/>
  <c r="X13" i="9"/>
  <c r="L11" i="18"/>
  <c r="P10" i="23" s="1"/>
  <c r="Q20" i="10" l="1"/>
  <c r="Q21" i="10"/>
  <c r="R20" i="10"/>
  <c r="R21" i="10"/>
  <c r="X20" i="10"/>
  <c r="X21" i="10"/>
  <c r="U20" i="10"/>
  <c r="U21" i="10"/>
  <c r="U9" i="10"/>
  <c r="R9" i="10"/>
  <c r="Q9" i="10"/>
  <c r="F21" i="10"/>
  <c r="X9" i="10"/>
  <c r="L12" i="23"/>
  <c r="L15" i="23"/>
  <c r="T42" i="9" s="1"/>
  <c r="L16" i="23"/>
  <c r="L14" i="23"/>
  <c r="L17" i="23"/>
  <c r="L7" i="23"/>
  <c r="W22" i="4"/>
  <c r="W23" i="4" s="1"/>
  <c r="V45" i="4"/>
  <c r="V46" i="4" s="1"/>
  <c r="Y45" i="4"/>
  <c r="Y46" i="4" s="1"/>
  <c r="X22" i="4"/>
  <c r="X23" i="4" s="1"/>
  <c r="Z45" i="4"/>
  <c r="Z46" i="4" s="1"/>
  <c r="AA22" i="4"/>
  <c r="AA23" i="4" s="1"/>
  <c r="V22" i="4"/>
  <c r="V23" i="4" s="1"/>
  <c r="AB22" i="4"/>
  <c r="AB23" i="4" s="1"/>
  <c r="S45" i="4"/>
  <c r="S46" i="4" s="1"/>
  <c r="Y22" i="4"/>
  <c r="Y23" i="4" s="1"/>
  <c r="U45" i="4"/>
  <c r="U46" i="4" s="1"/>
  <c r="W45" i="4"/>
  <c r="W46" i="4" s="1"/>
  <c r="Z22" i="4"/>
  <c r="Z23" i="4" s="1"/>
  <c r="AA45" i="4"/>
  <c r="AA46" i="4" s="1"/>
  <c r="X14" i="9"/>
  <c r="X7" i="9" s="1"/>
  <c r="X22" i="9"/>
  <c r="X23" i="9" s="1"/>
  <c r="Q5" i="23"/>
  <c r="U5" i="23" s="1" a="1"/>
  <c r="U5" i="23" s="1"/>
  <c r="S14" i="9"/>
  <c r="S7" i="9" s="1"/>
  <c r="Q7" i="23"/>
  <c r="U7" i="23" s="1" a="1"/>
  <c r="U7" i="23" s="1"/>
  <c r="O5" i="23"/>
  <c r="P18" i="23"/>
  <c r="W40" i="9" s="1"/>
  <c r="O6" i="23"/>
  <c r="U13" i="9" s="1"/>
  <c r="P13" i="23"/>
  <c r="AB18" i="9" s="1"/>
  <c r="P8" i="23"/>
  <c r="W18" i="9" s="1"/>
  <c r="Q6" i="23"/>
  <c r="U6" i="23" s="1" a="1"/>
  <c r="U6" i="23" s="1"/>
  <c r="O7" i="23"/>
  <c r="V13" i="9" s="1"/>
  <c r="C22" i="32"/>
  <c r="E22" i="32" s="1"/>
  <c r="AA14" i="4"/>
  <c r="AA7" i="4" s="1"/>
  <c r="AA18" i="4"/>
  <c r="U37" i="4"/>
  <c r="U30" i="4" s="1"/>
  <c r="AA37" i="4"/>
  <c r="AA30" i="4" s="1"/>
  <c r="S37" i="4"/>
  <c r="S30" i="4" s="1"/>
  <c r="V37" i="4"/>
  <c r="V30" i="4" s="1"/>
  <c r="Z37" i="4"/>
  <c r="Z30" i="4" s="1"/>
  <c r="W37" i="4"/>
  <c r="W30" i="4" s="1"/>
  <c r="Y37" i="4"/>
  <c r="Y30" i="4" s="1"/>
  <c r="Z18" i="4"/>
  <c r="Z14" i="4"/>
  <c r="Z7" i="4" s="1"/>
  <c r="L6" i="18"/>
  <c r="W18" i="4"/>
  <c r="Y14" i="4"/>
  <c r="Y7" i="4" s="1"/>
  <c r="Y18" i="4"/>
  <c r="X14" i="4"/>
  <c r="X7" i="4" s="1"/>
  <c r="X18" i="4"/>
  <c r="W14" i="4"/>
  <c r="W7" i="4" s="1"/>
  <c r="AB18" i="4"/>
  <c r="AB14" i="4"/>
  <c r="AB7" i="4" s="1"/>
  <c r="L7" i="18"/>
  <c r="L8" i="18"/>
  <c r="V18" i="4"/>
  <c r="V14" i="4"/>
  <c r="V7" i="4" s="1"/>
  <c r="S13" i="9"/>
  <c r="K30" i="32"/>
  <c r="M30" i="32" s="1"/>
  <c r="X40" i="9"/>
  <c r="Z40" i="9"/>
  <c r="AA40" i="9"/>
  <c r="Y40" i="9"/>
  <c r="V40" i="9"/>
  <c r="S40" i="9"/>
  <c r="AA18" i="9"/>
  <c r="AB40" i="9"/>
  <c r="U40" i="9"/>
  <c r="X18" i="9"/>
  <c r="Z18" i="9"/>
  <c r="T40" i="9"/>
  <c r="Y18" i="9"/>
  <c r="E31" i="21" l="1"/>
  <c r="F22" i="10"/>
  <c r="E33" i="21"/>
  <c r="G33" i="21" s="1"/>
  <c r="E32" i="21"/>
  <c r="G32" i="21" s="1"/>
  <c r="E20" i="21"/>
  <c r="E19" i="21"/>
  <c r="S22" i="9"/>
  <c r="S23" i="9" s="1"/>
  <c r="E30" i="21"/>
  <c r="C29" i="32"/>
  <c r="E29" i="32" s="1"/>
  <c r="L10" i="23"/>
  <c r="Y20" i="9" s="1"/>
  <c r="L20" i="23"/>
  <c r="Y42" i="9" s="1"/>
  <c r="L21" i="23"/>
  <c r="Z42" i="9" s="1"/>
  <c r="L9" i="23"/>
  <c r="X20" i="9" s="1"/>
  <c r="L22" i="23"/>
  <c r="AA42" i="9" s="1"/>
  <c r="L18" i="23"/>
  <c r="W42" i="9" s="1"/>
  <c r="L4" i="23"/>
  <c r="G46" i="32"/>
  <c r="S41" i="4"/>
  <c r="T41" i="4"/>
  <c r="U41" i="4"/>
  <c r="Z41" i="4"/>
  <c r="AB41" i="4"/>
  <c r="X41" i="4"/>
  <c r="W41" i="4"/>
  <c r="AA41" i="4"/>
  <c r="Y41" i="4"/>
  <c r="V41" i="4"/>
  <c r="L23" i="23"/>
  <c r="AB42" i="9" s="1"/>
  <c r="L19" i="23"/>
  <c r="X42" i="9" s="1"/>
  <c r="L13" i="23"/>
  <c r="AB20" i="9" s="1"/>
  <c r="L11" i="23"/>
  <c r="Z20" i="9" s="1"/>
  <c r="L8" i="23"/>
  <c r="W20" i="9" s="1"/>
  <c r="L6" i="23"/>
  <c r="U20" i="9" s="1"/>
  <c r="V14" i="9"/>
  <c r="V7" i="9" s="1"/>
  <c r="V22" i="9"/>
  <c r="V23" i="9" s="1"/>
  <c r="U14" i="9"/>
  <c r="U7" i="9" s="1"/>
  <c r="U22" i="9"/>
  <c r="U23" i="9" s="1"/>
  <c r="T14" i="9"/>
  <c r="T7" i="9" s="1"/>
  <c r="T22" i="9"/>
  <c r="T23" i="9" s="1"/>
  <c r="L5" i="23"/>
  <c r="T20" i="9" s="1"/>
  <c r="F15" i="9"/>
  <c r="F23" i="9" s="1" a="1"/>
  <c r="F23" i="9" s="1"/>
  <c r="T13" i="9"/>
  <c r="P7" i="23"/>
  <c r="V18" i="9" s="1"/>
  <c r="F14" i="9"/>
  <c r="P6" i="23"/>
  <c r="U18" i="9" s="1"/>
  <c r="P5" i="23"/>
  <c r="F16" i="9"/>
  <c r="S18" i="9"/>
  <c r="V42" i="9"/>
  <c r="AA20" i="9"/>
  <c r="U42" i="9"/>
  <c r="S42" i="9"/>
  <c r="V20" i="9"/>
  <c r="C45" i="32"/>
  <c r="E45" i="32" s="1"/>
  <c r="F21" i="9" l="1"/>
  <c r="C44" i="32" s="1"/>
  <c r="E44" i="32" s="1"/>
  <c r="E25" i="21"/>
  <c r="F24" i="9"/>
  <c r="C30" i="32"/>
  <c r="E30" i="32" s="1"/>
  <c r="F23" i="10"/>
  <c r="F30" i="9"/>
  <c r="F32" i="9" s="1"/>
  <c r="F31" i="9"/>
  <c r="C38" i="32"/>
  <c r="E38" i="32" s="1"/>
  <c r="T18" i="9"/>
  <c r="F19" i="9"/>
  <c r="C42" i="32" s="1"/>
  <c r="E42" i="32" s="1"/>
  <c r="S20" i="9"/>
  <c r="C39" i="32"/>
  <c r="E39" i="32" s="1"/>
  <c r="C7" i="32"/>
  <c r="E7" i="32" s="1"/>
  <c r="G21" i="21"/>
  <c r="E15" i="32"/>
  <c r="E10" i="32"/>
  <c r="C37" i="32" l="1"/>
  <c r="E37" i="32" s="1"/>
  <c r="E39" i="4" l="1"/>
  <c r="T13" i="4" l="1"/>
  <c r="U13" i="4"/>
  <c r="F15" i="4" l="1"/>
  <c r="F3" i="4" s="1"/>
  <c r="T18" i="4"/>
  <c r="U18" i="4"/>
  <c r="T14" i="4"/>
  <c r="T7" i="4" s="1"/>
  <c r="S13" i="4"/>
  <c r="AA43" i="4" l="1"/>
  <c r="S43" i="4"/>
  <c r="V43" i="4"/>
  <c r="AB43" i="4"/>
  <c r="T43" i="4"/>
  <c r="X43" i="4"/>
  <c r="AA20" i="4"/>
  <c r="U43" i="4"/>
  <c r="W43" i="4"/>
  <c r="Z20" i="4"/>
  <c r="Z43" i="4"/>
  <c r="Y43" i="4"/>
  <c r="F16" i="4"/>
  <c r="F20" i="4"/>
  <c r="K27" i="32" s="1"/>
  <c r="M27" i="32" s="1"/>
  <c r="T22" i="4"/>
  <c r="T23" i="4" s="1"/>
  <c r="U14" i="4"/>
  <c r="U7" i="4" s="1"/>
  <c r="C5" i="32"/>
  <c r="E5" i="32" s="1"/>
  <c r="G19" i="21"/>
  <c r="K22" i="32"/>
  <c r="M22" i="32" s="1"/>
  <c r="S18" i="4"/>
  <c r="S14" i="4"/>
  <c r="S7" i="4" s="1"/>
  <c r="F24" i="4" l="1" a="1"/>
  <c r="F24" i="4" s="1"/>
  <c r="F38" i="4"/>
  <c r="F25" i="4"/>
  <c r="K32" i="32" s="1"/>
  <c r="F31" i="4"/>
  <c r="F35" i="4" s="1"/>
  <c r="F32" i="4"/>
  <c r="F33" i="4"/>
  <c r="F34" i="4"/>
  <c r="G31" i="21"/>
  <c r="G30" i="21"/>
  <c r="AH24" i="23"/>
  <c r="X20" i="4"/>
  <c r="AB20" i="4"/>
  <c r="Y20" i="4"/>
  <c r="T20" i="4"/>
  <c r="V20" i="4"/>
  <c r="U20" i="4"/>
  <c r="W20" i="4"/>
  <c r="U22" i="4"/>
  <c r="U23" i="4" s="1"/>
  <c r="S22" i="4"/>
  <c r="S23" i="4" s="1"/>
  <c r="C11" i="32"/>
  <c r="E11" i="32" s="1"/>
  <c r="G25" i="21"/>
  <c r="K23" i="32"/>
  <c r="M23" i="32" s="1"/>
  <c r="C6" i="32"/>
  <c r="E6" i="32" s="1"/>
  <c r="G20" i="21"/>
  <c r="C17" i="32" l="1"/>
  <c r="E17" i="32" s="1"/>
  <c r="C16" i="32"/>
  <c r="E16" i="32" s="1"/>
  <c r="K31" i="32"/>
  <c r="M31" i="32" s="1"/>
  <c r="M32" i="32"/>
  <c r="H24" i="32" l="1"/>
  <c r="H26" i="32" l="1"/>
  <c r="H25" i="32"/>
  <c r="E29" i="18"/>
  <c r="M29" i="18" l="1"/>
  <c r="Y4" i="23" s="1"/>
  <c r="F22" i="4" s="1"/>
  <c r="E27" i="21" s="1"/>
  <c r="C13" i="32" l="1"/>
  <c r="E13" i="32" s="1"/>
  <c r="H7" i="32" s="1"/>
  <c r="Y24" i="23"/>
  <c r="S20" i="4"/>
  <c r="K29" i="32"/>
  <c r="M29" i="32" s="1"/>
  <c r="P24" i="32" s="1"/>
  <c r="P25" i="32" s="1"/>
  <c r="G27" i="21" l="1"/>
  <c r="P26" i="32"/>
  <c r="H9" i="32"/>
  <c r="H8" i="32"/>
  <c r="C46" i="32"/>
  <c r="E46" i="32" s="1"/>
  <c r="M44" i="9"/>
  <c r="C47" i="32" l="1"/>
  <c r="E47" i="32" s="1"/>
  <c r="H39" i="32" s="1"/>
  <c r="H40" i="32" l="1"/>
  <c r="H41"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Rodriguez</author>
  </authors>
  <commentList>
    <comment ref="D32" authorId="0" shapeId="0" xr:uid="{8FAA7581-2BD5-1940-947B-262DEEAEEFF4}">
      <text>
        <r>
          <rPr>
            <sz val="10"/>
            <color rgb="FF000000"/>
            <rFont val="Tahoma"/>
            <family val="2"/>
          </rPr>
          <t xml:space="preserve">Si tu instalación es sobre lámina corrugada o trapezoidal, puedes agregar en esta celda el accesorio de fijación adecuado para tu tipo de lámina.
</t>
        </r>
        <r>
          <rPr>
            <sz val="10"/>
            <color rgb="FF000000"/>
            <rFont val="Tahoma"/>
            <family val="2"/>
          </rPr>
          <t xml:space="preserve">
</t>
        </r>
        <r>
          <rPr>
            <sz val="10"/>
            <color rgb="FF000000"/>
            <rFont val="Tahoma"/>
            <family val="2"/>
          </rPr>
          <t xml:space="preserve">Si no sabes cual utilizar, contacta al equipo de soporte de tu distribuidor o al equipo de </t>
        </r>
        <r>
          <rPr>
            <b/>
            <sz val="10"/>
            <color rgb="FF000000"/>
            <rFont val="Tahoma"/>
            <family val="2"/>
          </rPr>
          <t>novotegra</t>
        </r>
        <r>
          <rPr>
            <sz val="10"/>
            <color rgb="FF000000"/>
            <rFont val="Tahoma"/>
            <family val="2"/>
          </rPr>
          <t xml:space="preserve"> en México para que te asesoren. 
</t>
        </r>
        <r>
          <rPr>
            <sz val="10"/>
            <color rgb="FF000000"/>
            <rFont val="Tahoma"/>
            <family val="2"/>
          </rPr>
          <t xml:space="preserve">
</t>
        </r>
        <r>
          <rPr>
            <sz val="10"/>
            <color rgb="FF000000"/>
            <rFont val="Tahoma"/>
            <family val="2"/>
          </rPr>
          <t xml:space="preserve">
</t>
        </r>
        <r>
          <rPr>
            <sz val="10"/>
            <color rgb="FF000000"/>
            <rFont val="Tahoma"/>
            <family val="2"/>
          </rPr>
          <t xml:space="preserve">Visita www.novotegra.mx para mas información y datos de contacto.
</t>
        </r>
      </text>
    </comment>
    <comment ref="D33" authorId="0" shapeId="0" xr:uid="{9739C85F-C0DE-B445-9333-C6D2FFE175CC}">
      <text>
        <r>
          <rPr>
            <sz val="10"/>
            <color rgb="FF000000"/>
            <rFont val="Tahoma"/>
            <family val="2"/>
          </rPr>
          <t xml:space="preserve">Si quieres elevar tu sistema FV con inclinación y que este incluya una </t>
        </r>
        <r>
          <rPr>
            <b/>
            <sz val="10"/>
            <color rgb="FF000000"/>
            <rFont val="Tahoma"/>
            <family val="2"/>
          </rPr>
          <t>pata delantera</t>
        </r>
        <r>
          <rPr>
            <sz val="10"/>
            <color rgb="FF000000"/>
            <rFont val="Tahoma"/>
            <family val="2"/>
          </rPr>
          <t xml:space="preserve">, ingresa la altura deseada en metros en esta celda.
</t>
        </r>
        <r>
          <rPr>
            <sz val="10"/>
            <color rgb="FF000000"/>
            <rFont val="Tahoma"/>
            <family val="2"/>
          </rPr>
          <t xml:space="preserve">
</t>
        </r>
        <r>
          <rPr>
            <sz val="10"/>
            <color rgb="FF000000"/>
            <rFont val="Tahoma"/>
            <family val="2"/>
          </rPr>
          <t xml:space="preserve">Nota: el máximo posible en este dimensionador es de 0.50 m
</t>
        </r>
        <r>
          <rPr>
            <sz val="10"/>
            <color rgb="FF000000"/>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<sst xmlns="http://schemas.openxmlformats.org/spreadsheetml/2006/main" count="2156" uniqueCount="588">
  <si>
    <t>Manual de usuario</t>
  </si>
  <si>
    <t>La herramienta "novotegra sizing tool" es una herramienta basada en Excel que nos permite realizar diferentes cálculos y despieces o BOMs (bill of materials) de las diferentes soluciones de la marca novotegra.
En esta herramienta se encuentran cargadas las hojas de ingeniería mediante las cuales se realizan los cálculos para definir las resistencias y la forma adecuada para realizar la instalación en las diferentes condiciones encontradas a lo largo de la republica mexicana.</t>
  </si>
  <si>
    <t>Entendiendo el libro "novotegra sizing tool xx.xx.xx"</t>
  </si>
  <si>
    <t>a)</t>
  </si>
  <si>
    <t>El libro contara con el nombre de novotegra sizing tool, seguido del numero de la versión más reciente, debemos de consultar con novotegra cual es la versión actualizada de la herramienta ya que continuamente se trabaja en mejorar la misma.</t>
  </si>
  <si>
    <t>b)</t>
  </si>
  <si>
    <t>Es de suma importancia que el documento se ejecute en la versión más actualizada de Excel ya que si es utilizada en una versión anterior muchas de las formulas utilizadas no funcionaran de forma adecuada y la herramienta presentará múltiples errores.</t>
  </si>
  <si>
    <t>c)</t>
  </si>
  <si>
    <t>Dentro de la herramienta contaremos con múltiples hojas que nos ayudaran a ingresar datos y a imprimir en PDF los BOMs y las guías de corte para los diferentes sistemas que hemos ingresado, estas hojas serán descritas a continuación;</t>
  </si>
  <si>
    <t>Ingreso de datos en "Datos de Proyecto"</t>
  </si>
  <si>
    <t>Exposición al viento</t>
  </si>
  <si>
    <t>Tipos de techos y accesorios</t>
  </si>
  <si>
    <t>Tipo de Techo</t>
  </si>
  <si>
    <t>Soluciones compatible</t>
  </si>
  <si>
    <t>Accesorios de fijacion</t>
  </si>
  <si>
    <t>Losa Plana</t>
  </si>
  <si>
    <t>Sistema Coplanar
Sistema de 1 Fila
Sistema 2 Filas</t>
  </si>
  <si>
    <t>Losa Inclinada</t>
  </si>
  <si>
    <t>Lamina Trapezoidal</t>
  </si>
  <si>
    <t>Sistema Coplanar
Sistema con NT Rail</t>
  </si>
  <si>
    <t>*Protea Bracket</t>
  </si>
  <si>
    <t>Lamina  ondulada</t>
  </si>
  <si>
    <t xml:space="preserve">Sistema Coplanar
</t>
  </si>
  <si>
    <t>*Corrubracket</t>
  </si>
  <si>
    <t>Lamina Engargolada</t>
  </si>
  <si>
    <t>Sistema Coplanar</t>
  </si>
  <si>
    <t>*M1 Clamp novotegra                *M2 Clamp novotegra</t>
  </si>
  <si>
    <t>TPO</t>
  </si>
  <si>
    <t>No Compatible</t>
  </si>
  <si>
    <t>Terminos y condiciones de uso.</t>
  </si>
  <si>
    <t>SI</t>
  </si>
  <si>
    <t>NO</t>
  </si>
  <si>
    <t>Horizontal</t>
  </si>
  <si>
    <t>Información del proyecto</t>
  </si>
  <si>
    <t>Nombre del Proyecto:</t>
  </si>
  <si>
    <t>Contacto:</t>
  </si>
  <si>
    <t>Correo electrónico:</t>
  </si>
  <si>
    <t>Resumen de sistema</t>
  </si>
  <si>
    <t>Datos del sitio</t>
  </si>
  <si>
    <t>Potencia del sistema:</t>
  </si>
  <si>
    <t>Ciudad</t>
  </si>
  <si>
    <t>Tamaulipas  / Tampico</t>
  </si>
  <si>
    <t>Total de módulos:</t>
  </si>
  <si>
    <t>Velocidad del viento</t>
  </si>
  <si>
    <t>Zona Sismica</t>
  </si>
  <si>
    <t>Altitud</t>
  </si>
  <si>
    <t>Sistema coplanar</t>
  </si>
  <si>
    <t>Sistema Una fila</t>
  </si>
  <si>
    <t>Sistema Doble fila</t>
  </si>
  <si>
    <t>Sistema con S Rail</t>
  </si>
  <si>
    <t>Vertical</t>
  </si>
  <si>
    <t xml:space="preserve">Cantidad de arreglos </t>
  </si>
  <si>
    <t xml:space="preserve">Configuración </t>
  </si>
  <si>
    <t>Configuración</t>
  </si>
  <si>
    <t>Datos del módulo</t>
  </si>
  <si>
    <t>Potencia del módulo</t>
  </si>
  <si>
    <t>Alto del módulo</t>
  </si>
  <si>
    <t>Ancho del módulo</t>
  </si>
  <si>
    <t>Grosor del marco de modulo</t>
  </si>
  <si>
    <t>Datos de la instalacion</t>
  </si>
  <si>
    <t>Tipo de techo</t>
  </si>
  <si>
    <t>Altura de pata delantera:</t>
  </si>
  <si>
    <t>Inclinación</t>
  </si>
  <si>
    <t>Tornillería para microinversores</t>
  </si>
  <si>
    <t>Cantidad de microinversores</t>
  </si>
  <si>
    <t>Longitud del riel</t>
  </si>
  <si>
    <t>Total módulos</t>
  </si>
  <si>
    <t>Correo:</t>
  </si>
  <si>
    <t>(Para la distancia de span real, se consideró un voladizo de 30 cm de cada extremo)</t>
  </si>
  <si>
    <t>Ciudad:</t>
  </si>
  <si>
    <t>Velocidad  de viento:</t>
  </si>
  <si>
    <t xml:space="preserve">Tilted  Roof - Single Row </t>
  </si>
  <si>
    <t>Potencia de módulo:</t>
  </si>
  <si>
    <t># de Arreglo</t>
  </si>
  <si>
    <t>Número de planchas:</t>
  </si>
  <si>
    <t>Número de módulos:</t>
  </si>
  <si>
    <t>Cantidad de arreglos</t>
  </si>
  <si>
    <t>Área total estimada:</t>
  </si>
  <si>
    <t>Despiece total del sistema</t>
  </si>
  <si>
    <t>Span Real</t>
  </si>
  <si>
    <t>L FOOT NOVOTEGRA</t>
  </si>
  <si>
    <t>SKU</t>
  </si>
  <si>
    <t>Descripción</t>
  </si>
  <si>
    <t>Cantidad</t>
  </si>
  <si>
    <t>N CONNECTOR NOVOTEGRA</t>
  </si>
  <si>
    <t>N00002</t>
  </si>
  <si>
    <t>END CLAMP NOVOTEGRA</t>
  </si>
  <si>
    <t>N00003</t>
  </si>
  <si>
    <t>MIDDLE CLAMP NOVOTEGRA</t>
  </si>
  <si>
    <t>N00014</t>
  </si>
  <si>
    <t>END CAP NOVOTEGRA</t>
  </si>
  <si>
    <t>N RAIL 4.72</t>
  </si>
  <si>
    <t>SGB-4, 4-4 SOL</t>
  </si>
  <si>
    <t>N00015</t>
  </si>
  <si>
    <t>M00112</t>
  </si>
  <si>
    <t>Referencias para instalación</t>
  </si>
  <si>
    <t>Distancia máxima entre puntos de apoyo E-O</t>
  </si>
  <si>
    <t># Costillas</t>
  </si>
  <si>
    <t>Datos del Proyecto:</t>
  </si>
  <si>
    <t>(Para las distancias de span real, se consideró un voladizo de 30 cm de cada extremo)</t>
  </si>
  <si>
    <t xml:space="preserve">Flat Roof - Single Row </t>
  </si>
  <si>
    <t>Velocidad de viento:</t>
  </si>
  <si>
    <t>Tirante trasero</t>
  </si>
  <si>
    <t>Tirante frontal</t>
  </si>
  <si>
    <t>N3 NOVOTEGRA</t>
  </si>
  <si>
    <t>N00001</t>
  </si>
  <si>
    <t>TOP CLIP NOVOTEGRA</t>
  </si>
  <si>
    <t>N00009</t>
  </si>
  <si>
    <t>Guía de cortes</t>
  </si>
  <si>
    <t>Parte</t>
  </si>
  <si>
    <t>Referencias para cortes</t>
  </si>
  <si>
    <t>Medidas</t>
  </si>
  <si>
    <t>A -</t>
  </si>
  <si>
    <t>Altura aproximada desde la superficie</t>
  </si>
  <si>
    <t>-</t>
  </si>
  <si>
    <t>B -</t>
  </si>
  <si>
    <t>Largo del módulo</t>
  </si>
  <si>
    <t>C -</t>
  </si>
  <si>
    <t>Largo del riel N-S</t>
  </si>
  <si>
    <t>D -</t>
  </si>
  <si>
    <t>Tamaño pata 1</t>
  </si>
  <si>
    <t>G -</t>
  </si>
  <si>
    <t>Altura Inicial</t>
  </si>
  <si>
    <t>H -</t>
  </si>
  <si>
    <t>I -</t>
  </si>
  <si>
    <t>J -</t>
  </si>
  <si>
    <t>Tirante lateral (Intercalados)</t>
  </si>
  <si>
    <t>K -</t>
  </si>
  <si>
    <t>Distancia maxima entre apoyos E-O</t>
  </si>
  <si>
    <t>L -</t>
  </si>
  <si>
    <t>Distancia aproximada entre apoyos N-S</t>
  </si>
  <si>
    <t>M -</t>
  </si>
  <si>
    <t>Grados de inclinación</t>
  </si>
  <si>
    <t>(Para las distancias  de span real, se consideró con un voladizo de 30 cm de cada extremo)</t>
  </si>
  <si>
    <t xml:space="preserve">Flat Roof - Double Row </t>
  </si>
  <si>
    <t>Altura máxima desde la superficie</t>
  </si>
  <si>
    <t>E -</t>
  </si>
  <si>
    <t>Tamaño pata 2</t>
  </si>
  <si>
    <t>F -</t>
  </si>
  <si>
    <t>Tamaño pata 3</t>
  </si>
  <si>
    <t>Tirante lateral</t>
  </si>
  <si>
    <t>Distancia  maxima entre apoyos E-O</t>
  </si>
  <si>
    <t>Distancia aproximada entre primer y último apoyo N-S</t>
  </si>
  <si>
    <t xml:space="preserve">Tilted Trapezoidal Metal Sheet </t>
  </si>
  <si>
    <t>M00111</t>
  </si>
  <si>
    <t xml:space="preserve"> </t>
  </si>
  <si>
    <t>Cantidad sugerida</t>
  </si>
  <si>
    <t>Nombre</t>
  </si>
  <si>
    <t>Imagen</t>
  </si>
  <si>
    <t>1_Fila_MSC</t>
  </si>
  <si>
    <t>1_Fila</t>
  </si>
  <si>
    <t>1_Fila_Pata</t>
  </si>
  <si>
    <t>2_Fila</t>
  </si>
  <si>
    <t>2_Fila_Pata</t>
  </si>
  <si>
    <t>Coplanar</t>
  </si>
  <si>
    <t>Kr18</t>
  </si>
  <si>
    <t>Cotización Proyecto Completo</t>
  </si>
  <si>
    <t xml:space="preserve">Descripción </t>
  </si>
  <si>
    <t>Precio unitario</t>
  </si>
  <si>
    <t xml:space="preserve">Subtotal </t>
  </si>
  <si>
    <t xml:space="preserve">Total de paneles </t>
  </si>
  <si>
    <t>N3 novotegra</t>
  </si>
  <si>
    <t>Potencia</t>
  </si>
  <si>
    <t>L Foot novotegra</t>
  </si>
  <si>
    <t>Potencia del proyecto</t>
  </si>
  <si>
    <t>N Connector novotegra</t>
  </si>
  <si>
    <t>Precio de proyecto</t>
  </si>
  <si>
    <t xml:space="preserve">NT Rail </t>
  </si>
  <si>
    <t xml:space="preserve">Precio por panel </t>
  </si>
  <si>
    <t>End Clamp novotegra</t>
  </si>
  <si>
    <t>Precio por Watt Total</t>
  </si>
  <si>
    <t>Middle Clamp novotegra</t>
  </si>
  <si>
    <t>Top Clip novotegra</t>
  </si>
  <si>
    <t>End Cap novotegra</t>
  </si>
  <si>
    <t>N Rail novotegra 4.72m</t>
  </si>
  <si>
    <t>Ilsco Lug</t>
  </si>
  <si>
    <t>Screw</t>
  </si>
  <si>
    <t>Cotización Superficie Inclinada (sistema coplanar)</t>
  </si>
  <si>
    <t>Cotización Losa Plana dos fila</t>
  </si>
  <si>
    <t>Precio por Watt Superficie Inclinada</t>
  </si>
  <si>
    <t>Precio por Watt Doble Fila</t>
  </si>
  <si>
    <t>Cotización Losa Plana una fila</t>
  </si>
  <si>
    <t>Cotización NT rail</t>
  </si>
  <si>
    <t>Precio por Watt Una Fila</t>
  </si>
  <si>
    <t>Precio por Watt NT Rail</t>
  </si>
  <si>
    <t>Longitud</t>
  </si>
  <si>
    <t>Latitud</t>
  </si>
  <si>
    <r>
      <t>Tr</t>
    </r>
    <r>
      <rPr>
        <b/>
        <sz val="10"/>
        <color theme="1"/>
        <rFont val="Arial"/>
        <family val="2"/>
      </rPr>
      <t>10</t>
    </r>
  </si>
  <si>
    <r>
      <t>Tr</t>
    </r>
    <r>
      <rPr>
        <b/>
        <sz val="10"/>
        <color theme="1"/>
        <rFont val="Arial"/>
        <family val="2"/>
      </rPr>
      <t>50</t>
    </r>
  </si>
  <si>
    <t>Tr50 novotegra</t>
  </si>
  <si>
    <r>
      <t>Tr</t>
    </r>
    <r>
      <rPr>
        <b/>
        <sz val="10"/>
        <color theme="1"/>
        <rFont val="Arial"/>
        <family val="2"/>
      </rPr>
      <t>200</t>
    </r>
  </si>
  <si>
    <t>Nivel sobre el mar</t>
  </si>
  <si>
    <t>Zona Sísmica</t>
  </si>
  <si>
    <t>Aguascalientes / Aguascalientes</t>
  </si>
  <si>
    <t>B</t>
  </si>
  <si>
    <t>Aguascalientes / Asientos</t>
  </si>
  <si>
    <t>A</t>
  </si>
  <si>
    <t>Potencias</t>
  </si>
  <si>
    <t>Aguascalientes / Calvillo</t>
  </si>
  <si>
    <t>Zona</t>
  </si>
  <si>
    <t>Cat Terreno</t>
  </si>
  <si>
    <t>Orientacion</t>
  </si>
  <si>
    <t>Accesorios</t>
  </si>
  <si>
    <t>Tipos de techo</t>
  </si>
  <si>
    <t>Grosor del modulo</t>
  </si>
  <si>
    <t>Aguascalientes / Rincon de romos</t>
  </si>
  <si>
    <t>Aguascalientes / Jesus Maria</t>
  </si>
  <si>
    <t>NOVOTEGRA M2 CLAMP</t>
  </si>
  <si>
    <t>Baja California / Bahía  de los Ángeles</t>
  </si>
  <si>
    <t>-102. 291</t>
  </si>
  <si>
    <t>C</t>
  </si>
  <si>
    <t>NOVOTEGRA M1 CLAMP</t>
  </si>
  <si>
    <t>Baja California / Cataviña</t>
  </si>
  <si>
    <t>D</t>
  </si>
  <si>
    <t>Baja California  / Ensenada</t>
  </si>
  <si>
    <t>CORRUBRACKET</t>
  </si>
  <si>
    <t>Lamina Ondulada</t>
  </si>
  <si>
    <t xml:space="preserve">Baja California  / La Rumorosa </t>
  </si>
  <si>
    <t xml:space="preserve">Baja California  / Mexicali </t>
  </si>
  <si>
    <t xml:space="preserve">Baja California  / San Quintín </t>
  </si>
  <si>
    <t>- 109. 917</t>
  </si>
  <si>
    <t>Angulo maximo</t>
  </si>
  <si>
    <t>Calculo de exposicion</t>
  </si>
  <si>
    <t>Baja California  / Santa Rosalía</t>
  </si>
  <si>
    <t>Baja California  / Tijuana</t>
  </si>
  <si>
    <t>Tipo de terreno</t>
  </si>
  <si>
    <t>Baja California Sur / Cabo San Lucas</t>
  </si>
  <si>
    <t>Tamaño de Pata</t>
  </si>
  <si>
    <t>Terreno abierto o junto a superficies de agua. (Franjas costeras)</t>
  </si>
  <si>
    <t>Baja California Sur / Ciudad Constitución</t>
  </si>
  <si>
    <t>Terreno con obstrucciones menores de 5m de alto. (Parques industriales)</t>
  </si>
  <si>
    <t>Baja California Sur / Gustavo  Díaz Ordaz</t>
  </si>
  <si>
    <t>Terreno con obstrucciones menores de 10m de alto. (Zonas residenciales)</t>
  </si>
  <si>
    <t>Baja California Sur / La  Paz</t>
  </si>
  <si>
    <t>Terreno con obstrucciones de 10m a 30m de alto. (Zonas de vivienda vertical)</t>
  </si>
  <si>
    <t>Baja California Sur / Loreto</t>
  </si>
  <si>
    <t>Baja California Sur / Puerto Cortés</t>
  </si>
  <si>
    <t>Baja California Sur  / San José del Cabo</t>
  </si>
  <si>
    <t>Tipo de S Rail</t>
  </si>
  <si>
    <t xml:space="preserve">Baja California Sur  / San Juanico </t>
  </si>
  <si>
    <t>S RAIL 40</t>
  </si>
  <si>
    <t>Campeche / Calakmul</t>
  </si>
  <si>
    <t>S RAIL 28</t>
  </si>
  <si>
    <t>Campeche / Calkini</t>
  </si>
  <si>
    <t>Campeche / Campeche</t>
  </si>
  <si>
    <t>Campeche / Champoton</t>
  </si>
  <si>
    <t>Campeche / Ciudad del Carmen</t>
  </si>
  <si>
    <t xml:space="preserve">Campeche / Escárcega </t>
  </si>
  <si>
    <t>Chiapas / Comitán</t>
  </si>
  <si>
    <t xml:space="preserve">Chiapas / San Cristóbal de las Casas </t>
  </si>
  <si>
    <t xml:space="preserve">Chiapas  / Palenque </t>
  </si>
  <si>
    <t xml:space="preserve">Chiapas  / Tapachula </t>
  </si>
  <si>
    <t xml:space="preserve">Chiapas  / Tuxtla  Gutiérrez </t>
  </si>
  <si>
    <t>Chihuaha / Ciudad Juárez</t>
  </si>
  <si>
    <t>Chihuahua / Basaseachi</t>
  </si>
  <si>
    <t>Chihuahua / Chihuahua</t>
  </si>
  <si>
    <t xml:space="preserve">Chihuahua / Delicias </t>
  </si>
  <si>
    <t xml:space="preserve">Chihuahua / Hidalgo del Parral </t>
  </si>
  <si>
    <t xml:space="preserve">Chihuahua / Nuevo Casas Grandes </t>
  </si>
  <si>
    <t xml:space="preserve">Chihuahua / Temósachic </t>
  </si>
  <si>
    <t>Chihuahua  / Jiménez</t>
  </si>
  <si>
    <t xml:space="preserve">Chihuahua  / Ojinaga </t>
  </si>
  <si>
    <t>-109. 932</t>
  </si>
  <si>
    <t xml:space="preserve">Chihuahua  / Villa Ahumada </t>
  </si>
  <si>
    <t>- 100. 503</t>
  </si>
  <si>
    <t xml:space="preserve">Coahuila / Ciudad Acuña </t>
  </si>
  <si>
    <t xml:space="preserve">Coahuila / Cuatro Ciénegas </t>
  </si>
  <si>
    <t xml:space="preserve">Coahuila / Monclova </t>
  </si>
  <si>
    <t>-96. 098</t>
  </si>
  <si>
    <t>Coahuila / Piedras Negras</t>
  </si>
  <si>
    <t>Coahuila / Saltillo</t>
  </si>
  <si>
    <t>Coahuila / Santa  Cecilia</t>
  </si>
  <si>
    <t xml:space="preserve">Coahuila / Torreón </t>
  </si>
  <si>
    <t>Colima / Cuidad de villa de alvarez</t>
  </si>
  <si>
    <t xml:space="preserve">Colima / Colima </t>
  </si>
  <si>
    <t>Colima / Manzanillo</t>
  </si>
  <si>
    <t>Colima / Tecoman</t>
  </si>
  <si>
    <t>Durango / Durango</t>
  </si>
  <si>
    <t>Durango / Gómez Palacio</t>
  </si>
  <si>
    <t>Durango / Lerdo</t>
  </si>
  <si>
    <t>Durango / Pueblo Nuevo</t>
  </si>
  <si>
    <t>Durango / Tambores de Abajo</t>
  </si>
  <si>
    <t>Durango / Tepehuanes</t>
  </si>
  <si>
    <t>Estado De México  / Buenavista</t>
  </si>
  <si>
    <t>- 104. 600</t>
  </si>
  <si>
    <t>Estado De México  / Chalco de Díaz Covarrubias</t>
  </si>
  <si>
    <t>Estado De México  / Chapingo</t>
  </si>
  <si>
    <t xml:space="preserve">Estado De México  / Chicoloapan de Juárez </t>
  </si>
  <si>
    <t>Estado De México  / Chimalhuacán</t>
  </si>
  <si>
    <t>Estado De México  / Ciudad  de México</t>
  </si>
  <si>
    <t>Estado De México  / Ciudad López  Mateos</t>
  </si>
  <si>
    <t>Estado De México  / Ciudad Nezahualcóyotl</t>
  </si>
  <si>
    <t>Estado De México  / Cuautitlán Izcalli</t>
  </si>
  <si>
    <t xml:space="preserve">Estado De México  / Ecatepec de Morelos </t>
  </si>
  <si>
    <t xml:space="preserve">Estado De México  / Huixquilucan </t>
  </si>
  <si>
    <t>Estado De México  / Ixtapaluca</t>
  </si>
  <si>
    <t>- 110. 943</t>
  </si>
  <si>
    <t>Estado De México  / Los Reyes Acaquilpan</t>
  </si>
  <si>
    <t xml:space="preserve">Estado De México  / Metepec </t>
  </si>
  <si>
    <t>Estado De México  / Naucalpan de  Juárez</t>
  </si>
  <si>
    <t>Estado De México  / Ojo  de Agua</t>
  </si>
  <si>
    <t>Estado De México  / San  Francisco  Coacalco</t>
  </si>
  <si>
    <t>Estado De México  / San Pablo de las Salinas</t>
  </si>
  <si>
    <t>Estado De México  / Tepexpan</t>
  </si>
  <si>
    <t>Estado De México  / Texcoco de Mora</t>
  </si>
  <si>
    <t xml:space="preserve">Estado De México  / Tlalnepantla </t>
  </si>
  <si>
    <t xml:space="preserve">Estado De México  / Toluca </t>
  </si>
  <si>
    <t xml:space="preserve">Estado De México  / Villa Nicolás Romero </t>
  </si>
  <si>
    <t xml:space="preserve">Estado De México  / Xico </t>
  </si>
  <si>
    <t>Guanajuato  / Celaya</t>
  </si>
  <si>
    <t>Guanajuato  / Guanajuato</t>
  </si>
  <si>
    <t>Guanajuato  / Irapuato</t>
  </si>
  <si>
    <t>Guanajuato  / León de los Aldama</t>
  </si>
  <si>
    <t>-110. 321</t>
  </si>
  <si>
    <t>Guanajuato  / P.  Allende</t>
  </si>
  <si>
    <t>Guanajuato  / Salamanca</t>
  </si>
  <si>
    <t>Guerrero / Acapulco</t>
  </si>
  <si>
    <t>Guerrero / Chilpancingo</t>
  </si>
  <si>
    <t xml:space="preserve">Guerrero / Iguala de la Independencia </t>
  </si>
  <si>
    <t>Guerrero / Tlapa</t>
  </si>
  <si>
    <t>Guerrero / Zihuatanejo</t>
  </si>
  <si>
    <t>Hidalgo / CD Sahagun</t>
  </si>
  <si>
    <t>Hidalgo / Huejutla de reyes</t>
  </si>
  <si>
    <t>Hidalgo / Mineral de la reforma</t>
  </si>
  <si>
    <t>Hidalgo  / Pachuca</t>
  </si>
  <si>
    <t>Hidalgo / Tizayuca</t>
  </si>
  <si>
    <t xml:space="preserve">Hidalgo  / Tulancingo </t>
  </si>
  <si>
    <t>Jalisco  / Chapala</t>
  </si>
  <si>
    <t>Jalisco  / Ciudad Guzmán</t>
  </si>
  <si>
    <t>Jalisco  / Colotlán</t>
  </si>
  <si>
    <t>Jalisco  / Guadalajara</t>
  </si>
  <si>
    <t>Jalisco  / Lagos de Moreno</t>
  </si>
  <si>
    <t xml:space="preserve">Jalisco  / Puerto Vallarta </t>
  </si>
  <si>
    <t>Jalisco  / Tapalpa</t>
  </si>
  <si>
    <t>Jalisco  / Tlaquepaque</t>
  </si>
  <si>
    <t>Jalisco  / Tonalá</t>
  </si>
  <si>
    <t xml:space="preserve">Jalisco  / Zapopan </t>
  </si>
  <si>
    <t>Michoacan / Apatzingan</t>
  </si>
  <si>
    <t>Michoacan / La Piedad</t>
  </si>
  <si>
    <t>Michoacán  / Lázaro Cárdenas</t>
  </si>
  <si>
    <t>Michoacán  / Morelia</t>
  </si>
  <si>
    <t xml:space="preserve">Michoacán  / Uruapan </t>
  </si>
  <si>
    <t>Michoacán  / Zamora</t>
  </si>
  <si>
    <t>Morelos / Cuautla</t>
  </si>
  <si>
    <t>Morelos / Cuernavaca</t>
  </si>
  <si>
    <t>Morelos / Emiliano Zapata</t>
  </si>
  <si>
    <t xml:space="preserve">Morelos / Jiutepec </t>
  </si>
  <si>
    <t>Morelos / Temixco</t>
  </si>
  <si>
    <t>Nayarit / Bahia de banderas</t>
  </si>
  <si>
    <t>Nayarit / Compostela</t>
  </si>
  <si>
    <t>Nayarit / Santiago Ixcuintla</t>
  </si>
  <si>
    <t xml:space="preserve">Nayarit  / Tepic </t>
  </si>
  <si>
    <t>Nayarit / Xalisco</t>
  </si>
  <si>
    <t>Nuevo Leon / Ciudad Apodaca</t>
  </si>
  <si>
    <t>Nuevo Leon / Ciudad Benito Juárez</t>
  </si>
  <si>
    <t>Nuevo Leon / Ciudad General  Escobedo</t>
  </si>
  <si>
    <t xml:space="preserve">Nuevo Leon / Ciudad Santa Catarina </t>
  </si>
  <si>
    <t>Nuevo Leon / Guadalupe</t>
  </si>
  <si>
    <t xml:space="preserve">Nuevo Leon / Monterrey </t>
  </si>
  <si>
    <t>Nuevo Leon / San Nicolás de los Garza</t>
  </si>
  <si>
    <t>Nuevo Leon / San Pedro Garza García</t>
  </si>
  <si>
    <t xml:space="preserve">Oaxaca  / Huajuapan de León </t>
  </si>
  <si>
    <t>Oaxaca  / Huatulco</t>
  </si>
  <si>
    <t>Oaxaca  / Nochixtlán</t>
  </si>
  <si>
    <t xml:space="preserve">Oaxaca  / Oaxaca </t>
  </si>
  <si>
    <t>Oaxaca  / Pinotepa</t>
  </si>
  <si>
    <t>Oaxaca  / Salina Cruz</t>
  </si>
  <si>
    <t xml:space="preserve">Oaxaca  / San Juan Bautista Tuxtepec </t>
  </si>
  <si>
    <t>Puebla /Atlixco</t>
  </si>
  <si>
    <t xml:space="preserve">Puebla /Cholula </t>
  </si>
  <si>
    <t>Puebla  / Puebla</t>
  </si>
  <si>
    <t>Puebla  / Tehuacán</t>
  </si>
  <si>
    <t>Puebla / Tepeyahualco</t>
  </si>
  <si>
    <t>Puebla / Teziutlán</t>
  </si>
  <si>
    <t>Queretaro / Corregidora</t>
  </si>
  <si>
    <t>Queretaro / El Marques</t>
  </si>
  <si>
    <t>Queretaro /Juriquilla</t>
  </si>
  <si>
    <t>Querétaro  / Querétaro</t>
  </si>
  <si>
    <t>Queretaro / Pedro Escobedo</t>
  </si>
  <si>
    <t xml:space="preserve">Querétaro  / San Juan del Río </t>
  </si>
  <si>
    <t>Quintana Roo / Cancún</t>
  </si>
  <si>
    <t>Quintana Roo / Chetumal</t>
  </si>
  <si>
    <t xml:space="preserve">Quintana Roo / Cozumel </t>
  </si>
  <si>
    <t>Quintana Roo / Felipe  Carrillo Puerto</t>
  </si>
  <si>
    <t xml:space="preserve">Quintana Roo / Isla Mujeres </t>
  </si>
  <si>
    <t>Quintana Roo / Playa del Carmen</t>
  </si>
  <si>
    <t>San Luis Potosi / Ciudad Valles</t>
  </si>
  <si>
    <t>San Luis Potosí / Matlapa</t>
  </si>
  <si>
    <t>San Luis Potosí / Río Verde</t>
  </si>
  <si>
    <t>San Luis Potosí / San Luis Potosí</t>
  </si>
  <si>
    <t>San Luis Potosí  / Soledad de Graciano Sánchez</t>
  </si>
  <si>
    <t xml:space="preserve">San Luis Potosí  / Tamuín </t>
  </si>
  <si>
    <t xml:space="preserve">Sinaloa  / Culiacán </t>
  </si>
  <si>
    <t>Sinaloa / El Fuerte</t>
  </si>
  <si>
    <t>Sinaloa / Guamuchil</t>
  </si>
  <si>
    <t>Sinaloa / Guasave</t>
  </si>
  <si>
    <t xml:space="preserve">Sinaloa  / Los Mochis </t>
  </si>
  <si>
    <t>Sinaloa  / Mazatlán</t>
  </si>
  <si>
    <t>Sonora  / Ciudad Obregón</t>
  </si>
  <si>
    <t>Sonora  / Empalme</t>
  </si>
  <si>
    <t>Sonora  / Guaymas</t>
  </si>
  <si>
    <t xml:space="preserve">Sonora  / Hermosillo </t>
  </si>
  <si>
    <t xml:space="preserve">Sonora  / Heroica Nogales </t>
  </si>
  <si>
    <t>Sonora  / Navojoa</t>
  </si>
  <si>
    <t>Sonora  / Pilares de Nacozari</t>
  </si>
  <si>
    <t>Sonora  / Puerto Peñasco</t>
  </si>
  <si>
    <t xml:space="preserve">Sonora  / San Luis Río Colorado </t>
  </si>
  <si>
    <t xml:space="preserve">Sonora  / Yécora </t>
  </si>
  <si>
    <t>Tabasco / Cardenas</t>
  </si>
  <si>
    <t>Tabasco / Comalcalco</t>
  </si>
  <si>
    <t>Tabasco / Huimangillo</t>
  </si>
  <si>
    <t>Tabasco / Macuspana</t>
  </si>
  <si>
    <t>Tabasco  / Villahermosa</t>
  </si>
  <si>
    <t>Tamaulipas  / Ciudad Madero</t>
  </si>
  <si>
    <t>Tamaulipas  / Ciudad Victoria</t>
  </si>
  <si>
    <t>Tamaulipas  / Heroica  Matamoros</t>
  </si>
  <si>
    <t xml:space="preserve">Tamaulipas  / Miramar </t>
  </si>
  <si>
    <t>Tamaulipas  / Nuevo  Laredo</t>
  </si>
  <si>
    <t>Tamaulipas  / Reynosa</t>
  </si>
  <si>
    <t>Tamaulipas  / Soto la Marina</t>
  </si>
  <si>
    <t>Tlaxcala / Apizaco</t>
  </si>
  <si>
    <t>Tlaxcala / Chiautempan</t>
  </si>
  <si>
    <t>Tlaxcala / Huamantla</t>
  </si>
  <si>
    <t>Tlaxcala / San Pablo Del Monte</t>
  </si>
  <si>
    <t xml:space="preserve">Tlaxcala  / Tlaxcala </t>
  </si>
  <si>
    <t>Veracruz / Alamo</t>
  </si>
  <si>
    <t>Veracruz / Alvarado</t>
  </si>
  <si>
    <t>Veracruz / Cludad  Alemán</t>
  </si>
  <si>
    <t>Veracruz / Coatzacoalcos</t>
  </si>
  <si>
    <t xml:space="preserve">Veracruz / Córdoba </t>
  </si>
  <si>
    <t>Veracruz / Laguna Verde</t>
  </si>
  <si>
    <t xml:space="preserve">Veracruz / Minatitlán </t>
  </si>
  <si>
    <t>Veracruz / Orizaba</t>
  </si>
  <si>
    <t>Veracruz / Perote</t>
  </si>
  <si>
    <t>Veracruz / Poza Rica de Hidalgo</t>
  </si>
  <si>
    <t>Veracruz / Tuxpan</t>
  </si>
  <si>
    <t>Veracruz / Veracruz</t>
  </si>
  <si>
    <t>Veracruz / Xalapa</t>
  </si>
  <si>
    <t>Yucatán  / Celestún</t>
  </si>
  <si>
    <t>Yucatán  / Mérida</t>
  </si>
  <si>
    <t>Yucatán  / Progreso</t>
  </si>
  <si>
    <t>Yucatán  / Tantakín</t>
  </si>
  <si>
    <t>Yucatán  / Ticul</t>
  </si>
  <si>
    <t>Yucatán  / Valladolid</t>
  </si>
  <si>
    <t xml:space="preserve">Zacatecas / Fresnillo </t>
  </si>
  <si>
    <t>Zacatecas / Guadalupe</t>
  </si>
  <si>
    <t>Zacatecas / Pinos</t>
  </si>
  <si>
    <t>Zacatecas / Rio Grande</t>
  </si>
  <si>
    <t>Zacatecas / Sombrerete</t>
  </si>
  <si>
    <t>Zacatecas / Zacatecas</t>
  </si>
  <si>
    <t>Área de módulo (mm)</t>
  </si>
  <si>
    <t>Grado de inclinación del panel</t>
  </si>
  <si>
    <t>Velocidad de viento (km/h)</t>
  </si>
  <si>
    <t>Fuerza del viento como carga puntual (N)</t>
  </si>
  <si>
    <t>Presión del viento sobre el módulo (N/m2)</t>
  </si>
  <si>
    <t>Aumento con nicvel anterior</t>
  </si>
  <si>
    <t>Presión del viento sobre el módulo (kN/m2)</t>
  </si>
  <si>
    <t>Distancia mínima entre apoyos
 [m]</t>
  </si>
  <si>
    <t>1096 x 2384</t>
  </si>
  <si>
    <t>10°</t>
  </si>
  <si>
    <t>20°</t>
  </si>
  <si>
    <t>30°</t>
  </si>
  <si>
    <t xml:space="preserve">Distancia máxima entre soportes (m) </t>
  </si>
  <si>
    <t>Velocidad (km/h)</t>
  </si>
  <si>
    <t>Altitud (metros sobre el nivel del mar)</t>
  </si>
  <si>
    <t>Zona sísmica B</t>
  </si>
  <si>
    <t>Categoría de terreno 1</t>
  </si>
  <si>
    <t>*Inclinación del sistema 5°</t>
  </si>
  <si>
    <t>*Inclinación del sistema 10°</t>
  </si>
  <si>
    <t>Categoría de terreno 2</t>
  </si>
  <si>
    <t>Categoría de terreno 3</t>
  </si>
  <si>
    <t>Categoría de terreno 4</t>
  </si>
  <si>
    <t>*Inclinación del sistema 15°</t>
  </si>
  <si>
    <t>*Inclinación del sistema 20°</t>
  </si>
  <si>
    <t>Zona sísmica C</t>
  </si>
  <si>
    <t>Zona sísmica D</t>
  </si>
  <si>
    <t>ZONA A</t>
  </si>
  <si>
    <t>CT 1 5 grados</t>
  </si>
  <si>
    <t>CT 1 10 grados</t>
  </si>
  <si>
    <t>CT 1 15 grados</t>
  </si>
  <si>
    <t>CT 1 &gt;15 grados</t>
  </si>
  <si>
    <t>CT 2 5 grados</t>
  </si>
  <si>
    <t>Span 2 Filas</t>
  </si>
  <si>
    <t>CT 2 10 grados</t>
  </si>
  <si>
    <t>CT 2 15 grados</t>
  </si>
  <si>
    <t>CT 2 &gt;15 grados</t>
  </si>
  <si>
    <t>CT 3 5 grados</t>
  </si>
  <si>
    <t>CT 3 10 grados</t>
  </si>
  <si>
    <t>CT 3 15 grados</t>
  </si>
  <si>
    <t>CT 3 &gt;15 grados</t>
  </si>
  <si>
    <t>CT 4 5 grados</t>
  </si>
  <si>
    <t>CT 4 10 grados</t>
  </si>
  <si>
    <t>CT 4 15 grados</t>
  </si>
  <si>
    <t>CT 4 &gt;15 grados</t>
  </si>
  <si>
    <t>Zona B</t>
  </si>
  <si>
    <t xml:space="preserve">   </t>
  </si>
  <si>
    <t>Zona C</t>
  </si>
  <si>
    <t>Zona D</t>
  </si>
  <si>
    <t>Inclinado 1 fila</t>
  </si>
  <si>
    <t>Inclinado 2 fila</t>
  </si>
  <si>
    <t>NT Rail</t>
  </si>
  <si>
    <t>Numero de Arreglo</t>
  </si>
  <si>
    <t>Riel 4.62 M</t>
  </si>
  <si>
    <t>End clamps</t>
  </si>
  <si>
    <t>Mid clamps</t>
  </si>
  <si>
    <t>L-foot</t>
  </si>
  <si>
    <t>N Connector</t>
  </si>
  <si>
    <t>Web lug</t>
  </si>
  <si>
    <t>End Cap</t>
  </si>
  <si>
    <t>Riel</t>
  </si>
  <si>
    <t>N3</t>
  </si>
  <si>
    <t>Top Clip</t>
  </si>
  <si>
    <t>Tirante Trasero</t>
  </si>
  <si>
    <t xml:space="preserve">L foot </t>
  </si>
  <si>
    <t>NT rail</t>
  </si>
  <si>
    <t>End Clamp</t>
  </si>
  <si>
    <t>Midclamp</t>
  </si>
  <si>
    <t>Web Lug</t>
  </si>
  <si>
    <t>Tornillo EPDM</t>
  </si>
  <si>
    <t>Ok</t>
  </si>
  <si>
    <t>1 Fila</t>
  </si>
  <si>
    <t>Num Tirante Lateral</t>
  </si>
  <si>
    <t>Num Tirante trasero y delantero</t>
  </si>
  <si>
    <t>Tirante Frontal</t>
  </si>
  <si>
    <t>Tirante Lateral</t>
  </si>
  <si>
    <t>Riel N-S</t>
  </si>
  <si>
    <t>Riel E-O</t>
  </si>
  <si>
    <t>Pata 1</t>
  </si>
  <si>
    <t>#Patas</t>
  </si>
  <si>
    <t>L foot</t>
  </si>
  <si>
    <t>Rieles</t>
  </si>
  <si>
    <t>End clamp</t>
  </si>
  <si>
    <t>Conectores</t>
  </si>
  <si>
    <t xml:space="preserve">Span </t>
  </si>
  <si>
    <t>Solucion</t>
  </si>
  <si>
    <t>TAN ANGULO EN ° * PI / 180</t>
  </si>
  <si>
    <t>Losa Plana 1 fila</t>
  </si>
  <si>
    <t>Span definido</t>
  </si>
  <si>
    <t>Losa Plana 2 fila</t>
  </si>
  <si>
    <t>Superficie Inclinada</t>
  </si>
  <si>
    <t>Formulas Para Imágenes</t>
  </si>
  <si>
    <t>2 filas</t>
  </si>
  <si>
    <t>Num Tirante Trasero y delantero</t>
  </si>
  <si>
    <t>Pata 3</t>
  </si>
  <si>
    <t>Pata 2</t>
  </si>
  <si>
    <t># Patas</t>
  </si>
  <si>
    <t>End cap</t>
  </si>
  <si>
    <t>Lfoot</t>
  </si>
  <si>
    <t>Mid clamp</t>
  </si>
  <si>
    <t>ilscolug</t>
  </si>
  <si>
    <t>T Pata delantera</t>
  </si>
  <si>
    <t>T lateral</t>
  </si>
  <si>
    <t>Span:</t>
  </si>
  <si>
    <t>Ancho de panel:</t>
  </si>
  <si>
    <t>Cantiliver:</t>
  </si>
  <si>
    <t>Separación Middle clamps:</t>
  </si>
  <si>
    <t>2 Filas</t>
  </si>
  <si>
    <t>3 Filas</t>
  </si>
  <si>
    <t>Arreglo</t>
  </si>
  <si>
    <t>Largo riel E-O sin cantiliver</t>
  </si>
  <si>
    <t>Número de espacios</t>
  </si>
  <si>
    <t>Numero de patas redondear mas</t>
  </si>
  <si>
    <t>Numero de patas redondear menos</t>
  </si>
  <si>
    <t>Span Redondear mas</t>
  </si>
  <si>
    <t>Span Redondear menos</t>
  </si>
  <si>
    <t>Diferencia de span vs span mas</t>
  </si>
  <si>
    <t>Span Seleccionado</t>
  </si>
  <si>
    <t>Num patas  Seleccionado</t>
  </si>
  <si>
    <t>Largo real Riel E-O</t>
  </si>
  <si>
    <t>Largo Riel E-O</t>
  </si>
  <si>
    <t>Largo riel E-O</t>
  </si>
  <si>
    <t>Cantidad paneles</t>
  </si>
  <si>
    <t>S-5! PROTEA II</t>
  </si>
  <si>
    <t xml:space="preserve">EJOT JF3-2-5.5x25 E16 </t>
  </si>
  <si>
    <t>SGB-4, 4-14 SOL-STR</t>
  </si>
  <si>
    <t>S RAIL</t>
  </si>
  <si>
    <t xml:space="preserve">Largo </t>
  </si>
  <si>
    <t>Tipo de S Rail a utilizar (Lámina trapezoidal)</t>
  </si>
  <si>
    <t>Accesorio de fijación (techos metálicos):</t>
  </si>
  <si>
    <t>MIDDLE CLAMP PRO</t>
  </si>
  <si>
    <t>N00027</t>
  </si>
  <si>
    <t>SET JT3-SB-3-8.0x85/50</t>
  </si>
  <si>
    <t>Riel Este-Oeste (2 x Arreglo)</t>
  </si>
  <si>
    <t># Apoyos x Riel E-O</t>
  </si>
  <si>
    <t>Tirante trasero (2 x Arreglo)</t>
  </si>
  <si>
    <t>Tirante frontal (2 x Arreglo)</t>
  </si>
  <si>
    <t>Riel Este-Oeste (4 x Arreglo)</t>
  </si>
  <si>
    <t>Tirante lateral (cantidad)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</si>
</sst>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quot;$&quot;* #,##0.00_-;_-&quot;$&quot;* &quot;-&quot;??_-;_-@_-"/>
    <numFmt numFmtId="165" formatCode="&quot;1 x&quot;\ 0"/>
    <numFmt numFmtId="166" formatCode="0\ &quot;W&quot;"/>
    <numFmt numFmtId="167" formatCode="\2\ &quot;x&quot;\ 0"/>
    <numFmt numFmtId="168" formatCode="0.00\ &quot;m&quot;"/>
    <numFmt numFmtId="169" formatCode="0\ &quot;°&quot;"/>
    <numFmt numFmtId="170" formatCode="0.00\ &quot;kWp&quot;"/>
    <numFmt numFmtId="171" formatCode="General\ &quot;km/h&quot;"/>
    <numFmt numFmtId="172" formatCode="&quot;1 x &quot;General"/>
    <numFmt numFmtId="173" formatCode="General\ &quot;m²&quot;"/>
    <numFmt numFmtId="174" formatCode="\1\ &quot;x&quot;\ 0"/>
    <numFmt numFmtId="175" formatCode="0.0000"/>
    <numFmt numFmtId="176" formatCode="0.0000000"/>
    <numFmt numFmtId="177" formatCode="0.000"/>
    <numFmt numFmtId="178" formatCode="0.0"/>
    <numFmt numFmtId="179" formatCode="###\ &quot;km/h&quot;"/>
    <numFmt numFmtId="180" formatCode="_-&quot;$&quot;* #,##0.000_-;\-&quot;$&quot;* #,##0.000_-;_-&quot;$&quot;* &quot;-&quot;??_-;_-@_-"/>
    <numFmt numFmtId="181" formatCode="0\ &quot;mm&quot;"/>
    <numFmt numFmtId="182" formatCode="0.0%"/>
    <numFmt numFmtId="183" formatCode="0.0000\ &quot;m&quot;"/>
    <numFmt numFmtId="184" formatCode="#\ &quot;°&quot;"/>
    <numFmt numFmtId="185" formatCode="0.00&quot;m&quot;"/>
  </numFmts>
  <fonts count="75">
    <font>
      <sz val="11"/>
      <color theme="1"/>
      <name val="Calibri"/>
      <family val="2"/>
      <scheme val="minor"/>
    </font>
    <font>
      <sz val="11"/>
      <color theme="1"/>
      <name val="Arial"/>
      <family val="2"/>
    </font>
    <font>
      <b/>
      <sz val="10"/>
      <color theme="1"/>
      <name val="Arial"/>
      <family val="2"/>
    </font>
    <font>
      <b/>
      <i/>
      <sz val="10"/>
      <color theme="1"/>
      <name val="Times New Roman"/>
      <family val="1"/>
    </font>
    <font>
      <sz val="11"/>
      <color rgb="FFFF0000"/>
      <name val="Calibri"/>
      <family val="2"/>
      <scheme val="minor"/>
    </font>
    <font>
      <sz val="10"/>
      <color theme="1"/>
      <name val="BayWa Sans Book"/>
      <family val="3"/>
    </font>
    <font>
      <sz val="10"/>
      <color rgb="FFFF0000"/>
      <name val="BayWa Sans Book"/>
      <family val="3"/>
    </font>
    <font>
      <b/>
      <sz val="10"/>
      <color theme="1"/>
      <name val="BayWa Sans Book"/>
      <family val="3"/>
    </font>
    <font>
      <sz val="10"/>
      <color theme="0"/>
      <name val="BayWa Sans Book"/>
      <family val="3"/>
    </font>
    <font>
      <sz val="11"/>
      <color theme="1"/>
      <name val="BayWa Sans Book"/>
      <family val="3"/>
    </font>
    <font>
      <b/>
      <sz val="16"/>
      <name val="BayWa Sans Book"/>
      <family val="3"/>
    </font>
    <font>
      <sz val="10"/>
      <color rgb="FF000000"/>
      <name val="BayWa Sans Book"/>
      <family val="3"/>
    </font>
    <font>
      <b/>
      <sz val="12"/>
      <color theme="0"/>
      <name val="BayWa Sans Book"/>
      <family val="3"/>
    </font>
    <font>
      <sz val="10"/>
      <name val="BayWa Sans Book"/>
      <family val="3"/>
    </font>
    <font>
      <b/>
      <sz val="11"/>
      <color rgb="FFB5CC26"/>
      <name val="BayWa Sans Book"/>
      <family val="3"/>
    </font>
    <font>
      <b/>
      <sz val="18"/>
      <color rgb="FF278C46"/>
      <name val="BayWa Sans Book"/>
      <family val="3"/>
    </font>
    <font>
      <b/>
      <sz val="10"/>
      <color rgb="FF278C46"/>
      <name val="BayWa Sans Book"/>
      <family val="3"/>
    </font>
    <font>
      <sz val="8"/>
      <color theme="1"/>
      <name val="BayWa Sans Book"/>
      <family val="3"/>
    </font>
    <font>
      <b/>
      <sz val="11"/>
      <color theme="0"/>
      <name val="BayWa Sans Book"/>
      <family val="3"/>
    </font>
    <font>
      <sz val="9"/>
      <color theme="1"/>
      <name val="BayWa Sans Book"/>
      <family val="3"/>
    </font>
    <font>
      <sz val="8"/>
      <color rgb="FF000000"/>
      <name val="BayWa Sans Book"/>
      <family val="3"/>
    </font>
    <font>
      <u/>
      <sz val="11"/>
      <color theme="10"/>
      <name val="Calibri"/>
      <family val="2"/>
      <scheme val="minor"/>
    </font>
    <font>
      <b/>
      <sz val="12"/>
      <color rgb="FFB5CC26"/>
      <name val="BayWa Sans Book"/>
      <family val="3"/>
    </font>
    <font>
      <b/>
      <sz val="24"/>
      <color theme="1"/>
      <name val="Calibri"/>
      <family val="2"/>
      <scheme val="minor"/>
    </font>
    <font>
      <sz val="11"/>
      <color theme="1"/>
      <name val="Calibri"/>
      <family val="2"/>
      <scheme val="minor"/>
    </font>
    <font>
      <b/>
      <sz val="11"/>
      <color theme="0"/>
      <name val="BayWa Sans Medium"/>
      <family val="3"/>
    </font>
    <font>
      <sz val="11"/>
      <color theme="1"/>
      <name val="BayWa Sans Medium"/>
      <family val="3"/>
    </font>
    <font>
      <b/>
      <sz val="12"/>
      <color theme="1"/>
      <name val="BayWa Sans Medium"/>
      <family val="3"/>
    </font>
    <font>
      <b/>
      <sz val="12"/>
      <color theme="0"/>
      <name val="BayWa Sans Medium"/>
      <family val="3"/>
    </font>
    <font>
      <b/>
      <sz val="16"/>
      <color theme="1"/>
      <name val="BayWa Sans Book"/>
      <family val="3"/>
    </font>
    <font>
      <sz val="10"/>
      <color rgb="FF000000"/>
      <name val="Tahoma"/>
      <family val="2"/>
    </font>
    <font>
      <b/>
      <sz val="10"/>
      <color rgb="FF000000"/>
      <name val="Tahoma"/>
      <family val="2"/>
    </font>
    <font>
      <b/>
      <sz val="12"/>
      <color theme="0"/>
      <name val="BayWa Sans Bold Rg"/>
    </font>
    <font>
      <b/>
      <sz val="10"/>
      <color theme="1"/>
      <name val="BayWa Sans Book Rg"/>
    </font>
    <font>
      <b/>
      <sz val="12"/>
      <color theme="1"/>
      <name val="BayWa Sans Bold Rg"/>
    </font>
    <font>
      <sz val="10"/>
      <color theme="1"/>
      <name val="BayWa Sans Light Rg"/>
    </font>
    <font>
      <sz val="10"/>
      <name val="BayWa Sans Light Rg"/>
    </font>
    <font>
      <b/>
      <sz val="20"/>
      <color theme="0"/>
      <name val="BayWa Sans Book"/>
      <family val="3"/>
    </font>
    <font>
      <b/>
      <sz val="11"/>
      <color theme="1"/>
      <name val="Calibri"/>
      <family val="2"/>
      <scheme val="minor"/>
    </font>
    <font>
      <b/>
      <sz val="11"/>
      <color theme="0"/>
      <name val="Baywa"/>
    </font>
    <font>
      <sz val="9"/>
      <color theme="1"/>
      <name val="Baywa"/>
    </font>
    <font>
      <b/>
      <sz val="14"/>
      <color rgb="FF278C46"/>
      <name val="Calibri"/>
      <family val="2"/>
      <scheme val="minor"/>
    </font>
    <font>
      <sz val="12"/>
      <color theme="1"/>
      <name val="BayWa Sans Book"/>
      <family val="3"/>
    </font>
    <font>
      <b/>
      <sz val="12"/>
      <color theme="1"/>
      <name val="BayWa Sans Book"/>
      <family val="3"/>
    </font>
    <font>
      <b/>
      <sz val="12"/>
      <color rgb="FF00B050"/>
      <name val="BayWa Sans Book"/>
      <family val="3"/>
    </font>
    <font>
      <b/>
      <sz val="11"/>
      <color theme="1"/>
      <name val="BayWa Sans Book"/>
      <family val="3"/>
    </font>
    <font>
      <sz val="7.5"/>
      <color rgb="FF000000"/>
      <name val="BayWa Sans Book"/>
      <family val="3"/>
    </font>
    <font>
      <b/>
      <sz val="10"/>
      <color rgb="FF000000"/>
      <name val="BayWa Sans Book"/>
      <family val="3"/>
    </font>
    <font>
      <sz val="7.5"/>
      <color theme="1"/>
      <name val="BayWa Sans Book"/>
      <family val="3"/>
    </font>
    <font>
      <b/>
      <sz val="8"/>
      <color theme="1"/>
      <name val="BayWa Sans Book"/>
      <family val="3"/>
    </font>
    <font>
      <sz val="9"/>
      <name val="BayWa Sans Book"/>
      <family val="3"/>
    </font>
    <font>
      <b/>
      <sz val="11"/>
      <name val="BayWa Sans Book"/>
      <family val="3"/>
    </font>
    <font>
      <b/>
      <sz val="12"/>
      <name val="BayWa Sans Book"/>
      <family val="3"/>
    </font>
    <font>
      <sz val="8"/>
      <name val="Calibri"/>
      <family val="2"/>
      <scheme val="minor"/>
    </font>
    <font>
      <sz val="11"/>
      <name val="Calibri"/>
      <family val="2"/>
      <scheme val="minor"/>
    </font>
    <font>
      <b/>
      <sz val="20"/>
      <name val="BayWa Sans Book"/>
      <family val="3"/>
    </font>
    <font>
      <b/>
      <sz val="18"/>
      <color theme="0"/>
      <name val="BayWa Sans Book"/>
      <family val="3"/>
    </font>
    <font>
      <sz val="12"/>
      <color theme="1"/>
      <name val="Calibri"/>
      <family val="2"/>
      <scheme val="minor"/>
    </font>
    <font>
      <b/>
      <sz val="12"/>
      <color theme="1"/>
      <name val="Calibri"/>
      <family val="2"/>
      <scheme val="minor"/>
    </font>
    <font>
      <sz val="18"/>
      <color theme="1"/>
      <name val="Calibri"/>
      <family val="2"/>
      <scheme val="minor"/>
    </font>
    <font>
      <b/>
      <sz val="11"/>
      <name val="Calibri"/>
      <family val="2"/>
      <scheme val="minor"/>
    </font>
    <font>
      <sz val="8"/>
      <name val="BayWa Sans Book"/>
      <family val="3"/>
    </font>
    <font>
      <sz val="14"/>
      <color rgb="FFFF0000"/>
      <name val="BayWa Sans Book"/>
      <family val="3"/>
    </font>
    <font>
      <sz val="12"/>
      <color rgb="FFFF0000"/>
      <name val="BayWa Sans Book"/>
      <family val="3"/>
    </font>
    <font>
      <u/>
      <sz val="11"/>
      <color theme="1"/>
      <name val="Calibri"/>
      <family val="2"/>
      <scheme val="minor"/>
    </font>
    <font>
      <b/>
      <sz val="8"/>
      <color rgb="FF000000"/>
      <name val="BayWa Sans Book"/>
      <family val="3"/>
    </font>
    <font>
      <b/>
      <sz val="10"/>
      <name val="BayWa Sans Book"/>
      <family val="3"/>
    </font>
    <font>
      <b/>
      <sz val="12"/>
      <color rgb="FF000000"/>
      <name val="BayWa Sans Book"/>
      <family val="3"/>
    </font>
    <font>
      <b/>
      <sz val="8"/>
      <color theme="0"/>
      <name val="BayWa Sans Book"/>
      <family val="3"/>
    </font>
    <font>
      <sz val="11"/>
      <color theme="0"/>
      <name val="BayWa Sans Book"/>
      <family val="3"/>
    </font>
    <font>
      <sz val="11"/>
      <color rgb="FFFF0000"/>
      <name val="BayWa Sans Book"/>
      <family val="3"/>
    </font>
    <font>
      <b/>
      <sz val="12"/>
      <color rgb="FFFF0000"/>
      <name val="BayWa Sans Book"/>
      <family val="3"/>
    </font>
    <font>
      <i/>
      <sz val="11"/>
      <color theme="1"/>
      <name val="BayWa Sans Book"/>
      <family val="3"/>
    </font>
    <font>
      <i/>
      <sz val="11"/>
      <color indexed="8"/>
      <name val="BayWa Sans Book"/>
      <family val="3"/>
    </font>
    <font>
      <b/>
      <sz val="14"/>
      <name val="BayWa Sans Book"/>
      <family val="3"/>
    </font>
  </fonts>
  <fills count="19">
    <fill>
      <patternFill patternType="none"/>
    </fill>
    <fill>
      <patternFill patternType="gray125"/>
    </fill>
    <fill>
      <patternFill patternType="solid">
        <fgColor theme="0"/>
        <bgColor indexed="64"/>
      </patternFill>
    </fill>
    <fill>
      <patternFill patternType="solid">
        <fgColor rgb="FF278C46"/>
        <bgColor indexed="64"/>
      </patternFill>
    </fill>
    <fill>
      <patternFill patternType="solid">
        <fgColor rgb="FF92D050"/>
        <bgColor indexed="64"/>
      </patternFill>
    </fill>
    <fill>
      <patternFill patternType="solid">
        <fgColor rgb="FFFFFFFF"/>
        <bgColor indexed="64"/>
      </patternFill>
    </fill>
    <fill>
      <patternFill patternType="solid">
        <fgColor rgb="FFF9D900"/>
        <bgColor indexed="64"/>
      </patternFill>
    </fill>
    <fill>
      <patternFill patternType="solid">
        <fgColor rgb="FF00B050"/>
        <bgColor indexed="64"/>
      </patternFill>
    </fill>
    <fill>
      <patternFill patternType="solid">
        <fgColor rgb="FF009651"/>
        <bgColor indexed="64"/>
      </patternFill>
    </fill>
    <fill>
      <patternFill patternType="solid">
        <fgColor rgb="FFAFCA0A"/>
        <bgColor indexed="64"/>
      </patternFill>
    </fill>
    <fill>
      <patternFill patternType="solid">
        <fgColor rgb="FF78B90F"/>
        <bgColor indexed="64"/>
      </patternFill>
    </fill>
    <fill>
      <patternFill patternType="solid">
        <fgColor rgb="FFF3F3F3"/>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9DB1C"/>
        <bgColor indexed="64"/>
      </patternFill>
    </fill>
    <fill>
      <patternFill patternType="solid">
        <fgColor theme="2" tint="-0.49998474074526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9" tint="0.599993896298104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rgb="FFCCCCCC"/>
      </left>
      <right/>
      <top style="medium">
        <color rgb="FFCCCCCC"/>
      </top>
      <bottom style="medium">
        <color rgb="FFCCCCCC"/>
      </bottom>
      <diagonal/>
    </border>
    <border>
      <left/>
      <right style="medium">
        <color rgb="FFCCCCCC"/>
      </right>
      <top style="medium">
        <color rgb="FFCCCCCC"/>
      </top>
      <bottom style="medium">
        <color rgb="FFCCCCCC"/>
      </bottom>
      <diagonal/>
    </border>
    <border>
      <left/>
      <right/>
      <top style="medium">
        <color rgb="FFCCCCCC"/>
      </top>
      <bottom style="medium">
        <color rgb="FFCCCCCC"/>
      </bottom>
      <diagonal/>
    </border>
    <border>
      <left style="medium">
        <color rgb="FFCCCCCC"/>
      </left>
      <right style="medium">
        <color rgb="FFCCCCCC"/>
      </right>
      <top/>
      <bottom/>
      <diagonal/>
    </border>
    <border>
      <left style="medium">
        <color rgb="FFCCCCCC"/>
      </left>
      <right style="thin">
        <color indexed="64"/>
      </right>
      <top style="medium">
        <color rgb="FFCCCCCC"/>
      </top>
      <bottom style="thin">
        <color indexed="64"/>
      </bottom>
      <diagonal/>
    </border>
    <border>
      <left style="thin">
        <color indexed="64"/>
      </left>
      <right style="thin">
        <color indexed="64"/>
      </right>
      <top style="medium">
        <color rgb="FFCCCCCC"/>
      </top>
      <bottom style="thin">
        <color indexed="64"/>
      </bottom>
      <diagonal/>
    </border>
    <border>
      <left style="thin">
        <color indexed="64"/>
      </left>
      <right style="medium">
        <color rgb="FFCCCCCC"/>
      </right>
      <top style="medium">
        <color rgb="FFCCCCCC"/>
      </top>
      <bottom style="thin">
        <color indexed="64"/>
      </bottom>
      <diagonal/>
    </border>
    <border>
      <left style="medium">
        <color rgb="FFCCCCCC"/>
      </left>
      <right style="thin">
        <color indexed="64"/>
      </right>
      <top style="thin">
        <color indexed="64"/>
      </top>
      <bottom style="medium">
        <color rgb="FFCCCCCC"/>
      </bottom>
      <diagonal/>
    </border>
    <border>
      <left style="thin">
        <color indexed="64"/>
      </left>
      <right style="thin">
        <color indexed="64"/>
      </right>
      <top style="thin">
        <color indexed="64"/>
      </top>
      <bottom style="medium">
        <color rgb="FFCCCCCC"/>
      </bottom>
      <diagonal/>
    </border>
    <border>
      <left style="thin">
        <color indexed="64"/>
      </left>
      <right style="medium">
        <color rgb="FFCCCCCC"/>
      </right>
      <top style="thin">
        <color indexed="64"/>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diagonal/>
    </border>
    <border>
      <left style="medium">
        <color rgb="FFCCCCCC"/>
      </left>
      <right style="medium">
        <color rgb="FFCCCCCC"/>
      </right>
      <top style="medium">
        <color rgb="FFCCCCCC"/>
      </top>
      <bottom/>
      <diagonal/>
    </border>
    <border>
      <left/>
      <right/>
      <top style="medium">
        <color rgb="FFCCCCCC"/>
      </top>
      <bottom/>
      <diagonal/>
    </border>
    <border>
      <left/>
      <right style="medium">
        <color rgb="FFCCCCCC"/>
      </right>
      <top style="medium">
        <color rgb="FFCCCCCC"/>
      </top>
      <bottom/>
      <diagonal/>
    </border>
    <border>
      <left/>
      <right/>
      <top/>
      <bottom style="medium">
        <color rgb="FFCCCCCC"/>
      </bottom>
      <diagonal/>
    </border>
    <border>
      <left/>
      <right style="medium">
        <color rgb="FFCCCCCC"/>
      </right>
      <top/>
      <bottom style="medium">
        <color rgb="FFCCCCCC"/>
      </bottom>
      <diagonal/>
    </border>
    <border>
      <left style="medium">
        <color rgb="FFCCCCCC"/>
      </left>
      <right/>
      <top style="medium">
        <color rgb="FFCCCCCC"/>
      </top>
      <bottom/>
      <diagonal/>
    </border>
    <border>
      <left style="medium">
        <color rgb="FFCCCCCC"/>
      </left>
      <right/>
      <top/>
      <bottom style="medium">
        <color rgb="FFCCCCCC"/>
      </bottom>
      <diagonal/>
    </border>
    <border>
      <left style="medium">
        <color rgb="FFCCCCCC"/>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4">
    <xf numFmtId="0" fontId="0" fillId="0" borderId="0"/>
    <xf numFmtId="0" fontId="21" fillId="0" borderId="0" applyNumberFormat="0" applyFill="0" applyBorder="0" applyAlignment="0" applyProtection="0"/>
    <xf numFmtId="9" fontId="24" fillId="0" borderId="0" applyFont="0" applyFill="0" applyBorder="0" applyAlignment="0" applyProtection="0"/>
    <xf numFmtId="164" fontId="24" fillId="0" borderId="0" applyFont="0" applyFill="0" applyBorder="0" applyAlignment="0" applyProtection="0"/>
  </cellStyleXfs>
  <cellXfs count="622">
    <xf numFmtId="0" fontId="0" fillId="0" borderId="0" xfId="0"/>
    <xf numFmtId="0" fontId="9" fillId="2" borderId="0" xfId="0" applyFont="1" applyFill="1"/>
    <xf numFmtId="0" fontId="5" fillId="2" borderId="0" xfId="0" applyFont="1" applyFill="1"/>
    <xf numFmtId="0" fontId="5" fillId="2" borderId="0" xfId="0" applyFont="1" applyFill="1" applyAlignment="1">
      <alignment horizontal="left"/>
    </xf>
    <xf numFmtId="0" fontId="5" fillId="2" borderId="7" xfId="0" applyFont="1" applyFill="1" applyBorder="1" applyAlignment="1" applyProtection="1">
      <alignment horizontal="center"/>
      <protection locked="0"/>
    </xf>
    <xf numFmtId="165" fontId="5" fillId="2" borderId="5" xfId="0" applyNumberFormat="1" applyFont="1" applyFill="1" applyBorder="1" applyAlignment="1" applyProtection="1">
      <alignment horizontal="center"/>
      <protection locked="0"/>
    </xf>
    <xf numFmtId="167" fontId="5" fillId="2" borderId="5" xfId="0" applyNumberFormat="1" applyFont="1" applyFill="1" applyBorder="1" applyAlignment="1" applyProtection="1">
      <alignment horizontal="center"/>
      <protection locked="0"/>
    </xf>
    <xf numFmtId="0" fontId="0" fillId="2" borderId="0" xfId="0" applyFill="1"/>
    <xf numFmtId="0" fontId="9" fillId="2" borderId="6" xfId="0" applyFont="1" applyFill="1" applyBorder="1"/>
    <xf numFmtId="168" fontId="9" fillId="2" borderId="0" xfId="0" applyNumberFormat="1" applyFont="1" applyFill="1"/>
    <xf numFmtId="0" fontId="5" fillId="2" borderId="0" xfId="0" applyFont="1" applyFill="1" applyAlignment="1">
      <alignment horizontal="right"/>
    </xf>
    <xf numFmtId="0" fontId="14" fillId="2" borderId="6" xfId="0" applyFont="1" applyFill="1" applyBorder="1" applyAlignment="1">
      <alignment horizontal="center" vertical="center" wrapText="1"/>
    </xf>
    <xf numFmtId="0" fontId="11" fillId="5" borderId="0" xfId="0" applyFont="1" applyFill="1" applyAlignment="1">
      <alignment horizontal="center" vertical="center" wrapText="1"/>
    </xf>
    <xf numFmtId="0" fontId="8" fillId="2" borderId="0" xfId="0" applyFont="1" applyFill="1"/>
    <xf numFmtId="0" fontId="25" fillId="8" borderId="1" xfId="0" applyFont="1" applyFill="1" applyBorder="1" applyAlignment="1">
      <alignment horizontal="center" vertical="center" wrapText="1"/>
    </xf>
    <xf numFmtId="175" fontId="25" fillId="8" borderId="1" xfId="0" applyNumberFormat="1" applyFont="1" applyFill="1" applyBorder="1" applyAlignment="1">
      <alignment horizontal="center" vertical="center" wrapText="1"/>
    </xf>
    <xf numFmtId="0" fontId="26" fillId="2" borderId="1" xfId="0" applyFont="1" applyFill="1" applyBorder="1" applyAlignment="1">
      <alignment vertical="center" wrapText="1"/>
    </xf>
    <xf numFmtId="0" fontId="27" fillId="2" borderId="1" xfId="0" applyFont="1" applyFill="1" applyBorder="1" applyAlignment="1">
      <alignment wrapText="1"/>
    </xf>
    <xf numFmtId="0" fontId="28" fillId="9" borderId="1" xfId="0" applyFont="1" applyFill="1" applyBorder="1" applyAlignment="1">
      <alignment horizontal="center" vertical="center"/>
    </xf>
    <xf numFmtId="1" fontId="26" fillId="2" borderId="1" xfId="0" applyNumberFormat="1" applyFont="1" applyFill="1" applyBorder="1" applyAlignment="1">
      <alignment horizontal="center" vertical="center"/>
    </xf>
    <xf numFmtId="9" fontId="26" fillId="2" borderId="1" xfId="2" applyFont="1" applyFill="1" applyBorder="1" applyAlignment="1">
      <alignment horizontal="center" vertical="center"/>
    </xf>
    <xf numFmtId="2" fontId="28" fillId="9" borderId="1" xfId="0" applyNumberFormat="1" applyFont="1" applyFill="1" applyBorder="1" applyAlignment="1">
      <alignment horizontal="center"/>
    </xf>
    <xf numFmtId="0" fontId="33" fillId="0" borderId="0" xfId="0" applyFont="1" applyAlignment="1">
      <alignment horizontal="center" vertical="center"/>
    </xf>
    <xf numFmtId="0" fontId="33" fillId="0" borderId="27" xfId="0" applyFont="1" applyBorder="1" applyAlignment="1">
      <alignment horizontal="center" vertical="center"/>
    </xf>
    <xf numFmtId="0" fontId="33" fillId="2" borderId="28" xfId="0" applyFont="1" applyFill="1" applyBorder="1" applyAlignment="1">
      <alignment horizontal="center" vertical="center" wrapText="1"/>
    </xf>
    <xf numFmtId="2" fontId="35" fillId="2" borderId="29" xfId="0" applyNumberFormat="1" applyFont="1" applyFill="1" applyBorder="1" applyAlignment="1">
      <alignment horizontal="center" vertical="center"/>
    </xf>
    <xf numFmtId="2" fontId="35" fillId="2" borderId="30" xfId="0" applyNumberFormat="1" applyFont="1" applyFill="1" applyBorder="1" applyAlignment="1">
      <alignment horizontal="center" vertical="center"/>
    </xf>
    <xf numFmtId="0" fontId="33" fillId="11" borderId="19" xfId="0" applyFont="1" applyFill="1" applyBorder="1" applyAlignment="1">
      <alignment horizontal="center" vertical="center" wrapText="1"/>
    </xf>
    <xf numFmtId="2" fontId="35" fillId="11" borderId="0" xfId="0" applyNumberFormat="1" applyFont="1" applyFill="1" applyAlignment="1">
      <alignment horizontal="center" vertical="center"/>
    </xf>
    <xf numFmtId="2" fontId="35" fillId="11" borderId="27" xfId="0" applyNumberFormat="1" applyFont="1" applyFill="1" applyBorder="1" applyAlignment="1">
      <alignment horizontal="center" vertical="center"/>
    </xf>
    <xf numFmtId="0" fontId="33" fillId="2" borderId="19" xfId="0" applyFont="1" applyFill="1" applyBorder="1" applyAlignment="1">
      <alignment horizontal="center" vertical="center" wrapText="1"/>
    </xf>
    <xf numFmtId="2" fontId="35" fillId="2" borderId="0" xfId="0" applyNumberFormat="1" applyFont="1" applyFill="1" applyAlignment="1">
      <alignment horizontal="center" vertical="center"/>
    </xf>
    <xf numFmtId="2" fontId="35" fillId="2" borderId="27" xfId="0" applyNumberFormat="1" applyFont="1" applyFill="1" applyBorder="1" applyAlignment="1">
      <alignment horizontal="center" vertical="center"/>
    </xf>
    <xf numFmtId="0" fontId="33" fillId="2" borderId="26" xfId="0" applyFont="1" applyFill="1" applyBorder="1" applyAlignment="1">
      <alignment horizontal="center" vertical="center" wrapText="1"/>
    </xf>
    <xf numFmtId="2" fontId="35" fillId="2" borderId="31" xfId="0" applyNumberFormat="1" applyFont="1" applyFill="1" applyBorder="1" applyAlignment="1">
      <alignment horizontal="center" vertical="center"/>
    </xf>
    <xf numFmtId="2" fontId="36" fillId="2" borderId="31" xfId="0" applyNumberFormat="1" applyFont="1" applyFill="1" applyBorder="1" applyAlignment="1">
      <alignment horizontal="center" vertical="center"/>
    </xf>
    <xf numFmtId="2" fontId="35" fillId="2" borderId="32" xfId="0" applyNumberFormat="1" applyFont="1" applyFill="1" applyBorder="1" applyAlignment="1">
      <alignment horizontal="center" vertical="center"/>
    </xf>
    <xf numFmtId="2" fontId="35" fillId="11" borderId="0" xfId="0" quotePrefix="1" applyNumberFormat="1" applyFont="1" applyFill="1" applyAlignment="1">
      <alignment horizontal="center" vertical="center"/>
    </xf>
    <xf numFmtId="2" fontId="35" fillId="2" borderId="31" xfId="0" quotePrefix="1" applyNumberFormat="1" applyFont="1" applyFill="1" applyBorder="1" applyAlignment="1">
      <alignment horizontal="center" vertical="center"/>
    </xf>
    <xf numFmtId="2" fontId="35" fillId="12" borderId="0" xfId="0" applyNumberFormat="1" applyFont="1" applyFill="1" applyAlignment="1">
      <alignment horizontal="center" vertical="center"/>
    </xf>
    <xf numFmtId="2" fontId="35" fillId="12" borderId="27" xfId="0" applyNumberFormat="1" applyFont="1" applyFill="1" applyBorder="1" applyAlignment="1">
      <alignment horizontal="center" vertical="center"/>
    </xf>
    <xf numFmtId="2" fontId="35" fillId="0" borderId="0" xfId="0" applyNumberFormat="1" applyFont="1" applyAlignment="1">
      <alignment horizontal="center" vertical="center"/>
    </xf>
    <xf numFmtId="0" fontId="32" fillId="10" borderId="16" xfId="0" applyFont="1" applyFill="1" applyBorder="1" applyAlignment="1">
      <alignment horizontal="center" vertical="center"/>
    </xf>
    <xf numFmtId="0" fontId="32" fillId="10" borderId="17" xfId="0" applyFont="1" applyFill="1" applyBorder="1" applyAlignment="1">
      <alignment horizontal="center" vertical="center"/>
    </xf>
    <xf numFmtId="0" fontId="11" fillId="2" borderId="0" xfId="0" applyFont="1" applyFill="1" applyAlignment="1">
      <alignment horizontal="center" vertical="center" wrapText="1"/>
    </xf>
    <xf numFmtId="2" fontId="35" fillId="2" borderId="27" xfId="0" quotePrefix="1" applyNumberFormat="1" applyFont="1" applyFill="1" applyBorder="1" applyAlignment="1">
      <alignment horizontal="center" vertical="center"/>
    </xf>
    <xf numFmtId="2" fontId="35" fillId="2" borderId="0" xfId="0" quotePrefix="1" applyNumberFormat="1" applyFont="1" applyFill="1" applyAlignment="1">
      <alignment horizontal="center" vertical="center"/>
    </xf>
    <xf numFmtId="0" fontId="41" fillId="2" borderId="0" xfId="0" applyFont="1" applyFill="1" applyAlignment="1">
      <alignment vertical="center"/>
    </xf>
    <xf numFmtId="0" fontId="9" fillId="2" borderId="0" xfId="0" applyFont="1" applyFill="1" applyAlignment="1">
      <alignment horizontal="right"/>
    </xf>
    <xf numFmtId="0" fontId="42" fillId="2" borderId="0" xfId="0" applyFont="1" applyFill="1"/>
    <xf numFmtId="0" fontId="44" fillId="2" borderId="0" xfId="0" applyFont="1" applyFill="1"/>
    <xf numFmtId="0" fontId="42" fillId="2" borderId="0" xfId="0" applyFont="1" applyFill="1" applyAlignment="1">
      <alignment vertical="top" wrapText="1"/>
    </xf>
    <xf numFmtId="0" fontId="43" fillId="2" borderId="0" xfId="0" applyFont="1" applyFill="1" applyAlignment="1">
      <alignment horizontal="right" vertical="top" wrapText="1"/>
    </xf>
    <xf numFmtId="0" fontId="5" fillId="2" borderId="0" xfId="0" applyFont="1" applyFill="1" applyAlignment="1">
      <alignment horizontal="center"/>
    </xf>
    <xf numFmtId="165" fontId="5" fillId="2" borderId="0" xfId="0" applyNumberFormat="1" applyFont="1" applyFill="1" applyAlignment="1">
      <alignment horizontal="center"/>
    </xf>
    <xf numFmtId="0" fontId="6" fillId="2" borderId="0" xfId="0" applyFont="1" applyFill="1"/>
    <xf numFmtId="0" fontId="5" fillId="2" borderId="0" xfId="0" applyFont="1" applyFill="1" applyAlignment="1">
      <alignment horizontal="left" vertical="center"/>
    </xf>
    <xf numFmtId="170" fontId="5" fillId="2" borderId="0" xfId="0" applyNumberFormat="1" applyFont="1" applyFill="1" applyAlignment="1">
      <alignment horizontal="right"/>
    </xf>
    <xf numFmtId="0" fontId="5" fillId="2" borderId="0" xfId="0" applyFont="1" applyFill="1" applyAlignment="1">
      <alignment horizontal="right" vertical="center"/>
    </xf>
    <xf numFmtId="0" fontId="7" fillId="2" borderId="0" xfId="0" applyFont="1" applyFill="1" applyAlignment="1">
      <alignment vertical="top"/>
    </xf>
    <xf numFmtId="0" fontId="5" fillId="2" borderId="0" xfId="0" applyFont="1" applyFill="1" applyAlignment="1">
      <alignment wrapText="1"/>
    </xf>
    <xf numFmtId="0" fontId="10" fillId="2" borderId="0" xfId="0" applyFont="1" applyFill="1" applyAlignment="1">
      <alignment horizontal="center" vertical="center" wrapText="1"/>
    </xf>
    <xf numFmtId="0" fontId="5" fillId="2" borderId="0" xfId="0" applyFont="1" applyFill="1" applyAlignment="1">
      <alignment horizontal="center" vertical="center"/>
    </xf>
    <xf numFmtId="0" fontId="5" fillId="2" borderId="1" xfId="0" applyFont="1" applyFill="1" applyBorder="1" applyAlignment="1">
      <alignment horizontal="left"/>
    </xf>
    <xf numFmtId="0" fontId="6" fillId="2" borderId="0" xfId="0" applyFont="1" applyFill="1" applyAlignment="1">
      <alignment horizontal="center" vertical="center" wrapText="1"/>
    </xf>
    <xf numFmtId="0" fontId="5" fillId="2" borderId="1" xfId="0" applyFont="1" applyFill="1" applyBorder="1"/>
    <xf numFmtId="49" fontId="7" fillId="2" borderId="0" xfId="0" applyNumberFormat="1" applyFont="1" applyFill="1" applyAlignment="1">
      <alignment horizontal="center"/>
    </xf>
    <xf numFmtId="0" fontId="16" fillId="2" borderId="0" xfId="0" applyFont="1" applyFill="1" applyAlignment="1">
      <alignment horizontal="center" wrapText="1"/>
    </xf>
    <xf numFmtId="0" fontId="16" fillId="2" borderId="0" xfId="0" applyFont="1" applyFill="1" applyAlignment="1">
      <alignment horizontal="center"/>
    </xf>
    <xf numFmtId="0" fontId="5" fillId="2" borderId="2" xfId="0" applyFont="1" applyFill="1" applyBorder="1" applyAlignment="1">
      <alignment vertical="center"/>
    </xf>
    <xf numFmtId="0" fontId="37" fillId="2" borderId="0" xfId="0" applyFont="1" applyFill="1" applyAlignment="1">
      <alignment horizontal="center" vertical="center"/>
    </xf>
    <xf numFmtId="0" fontId="13" fillId="2" borderId="0" xfId="0" applyFont="1" applyFill="1"/>
    <xf numFmtId="0" fontId="0" fillId="2" borderId="0" xfId="0" applyFill="1" applyAlignment="1">
      <alignment horizontal="center"/>
    </xf>
    <xf numFmtId="0" fontId="9" fillId="2" borderId="0" xfId="0" applyFont="1" applyFill="1" applyAlignment="1">
      <alignment horizontal="center"/>
    </xf>
    <xf numFmtId="0" fontId="20" fillId="5" borderId="0" xfId="0" applyFont="1" applyFill="1" applyAlignment="1">
      <alignment vertical="center"/>
    </xf>
    <xf numFmtId="0" fontId="20" fillId="5" borderId="0" xfId="0" applyFont="1" applyFill="1" applyAlignment="1">
      <alignment vertical="center" wrapText="1"/>
    </xf>
    <xf numFmtId="0" fontId="20" fillId="5" borderId="0" xfId="0" applyFont="1" applyFill="1" applyAlignment="1">
      <alignment vertical="top"/>
    </xf>
    <xf numFmtId="0" fontId="19" fillId="2" borderId="1" xfId="0" applyFont="1" applyFill="1" applyBorder="1" applyAlignment="1">
      <alignment horizontal="center"/>
    </xf>
    <xf numFmtId="0" fontId="19" fillId="2" borderId="0" xfId="0" applyFont="1" applyFill="1"/>
    <xf numFmtId="0" fontId="46" fillId="5" borderId="0" xfId="0" applyFont="1" applyFill="1" applyAlignment="1">
      <alignment vertical="center" wrapText="1"/>
    </xf>
    <xf numFmtId="0" fontId="11" fillId="2" borderId="0" xfId="0" applyFont="1" applyFill="1" applyAlignment="1">
      <alignment vertical="center" wrapText="1"/>
    </xf>
    <xf numFmtId="0" fontId="19" fillId="0" borderId="1" xfId="0" applyFont="1" applyBorder="1" applyAlignment="1">
      <alignment horizontal="center" vertical="center"/>
    </xf>
    <xf numFmtId="0" fontId="49" fillId="2" borderId="0" xfId="0" applyFont="1" applyFill="1" applyAlignment="1">
      <alignment horizontal="center" vertical="top"/>
    </xf>
    <xf numFmtId="174" fontId="17" fillId="2" borderId="0" xfId="0" applyNumberFormat="1" applyFont="1" applyFill="1" applyAlignment="1">
      <alignment horizontal="center" vertical="top"/>
    </xf>
    <xf numFmtId="0" fontId="17" fillId="2" borderId="0" xfId="0" applyFont="1" applyFill="1" applyAlignment="1">
      <alignment horizontal="center" vertical="top"/>
    </xf>
    <xf numFmtId="0" fontId="18" fillId="2" borderId="0" xfId="0" applyFont="1" applyFill="1" applyAlignment="1">
      <alignment vertical="center"/>
    </xf>
    <xf numFmtId="0" fontId="19" fillId="2" borderId="0" xfId="0" applyFont="1" applyFill="1" applyAlignment="1">
      <alignment horizontal="center" vertical="center"/>
    </xf>
    <xf numFmtId="0" fontId="50" fillId="2" borderId="0" xfId="0" applyFont="1" applyFill="1" applyAlignment="1">
      <alignment horizontal="center" vertical="center"/>
    </xf>
    <xf numFmtId="0" fontId="46" fillId="2" borderId="0" xfId="0" applyFont="1" applyFill="1" applyAlignment="1">
      <alignment horizontal="center" vertical="center"/>
    </xf>
    <xf numFmtId="0" fontId="46" fillId="2" borderId="0" xfId="0" applyFont="1" applyFill="1" applyAlignment="1">
      <alignment horizontal="center" vertical="center" wrapText="1"/>
    </xf>
    <xf numFmtId="0" fontId="0" fillId="0" borderId="5"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16" borderId="5" xfId="0" applyFill="1" applyBorder="1" applyAlignment="1">
      <alignment horizontal="center"/>
    </xf>
    <xf numFmtId="0" fontId="0" fillId="16" borderId="0" xfId="0" applyFill="1" applyAlignment="1">
      <alignment horizontal="center"/>
    </xf>
    <xf numFmtId="0" fontId="0" fillId="16" borderId="15" xfId="0" applyFill="1" applyBorder="1" applyAlignment="1">
      <alignment horizontal="center"/>
    </xf>
    <xf numFmtId="0" fontId="0" fillId="16" borderId="6" xfId="0" applyFill="1" applyBorder="1" applyAlignment="1">
      <alignment horizontal="center"/>
    </xf>
    <xf numFmtId="0" fontId="15" fillId="2" borderId="0" xfId="0" applyFont="1" applyFill="1" applyAlignment="1">
      <alignment horizontal="center" vertical="center"/>
    </xf>
    <xf numFmtId="0" fontId="19" fillId="0" borderId="11" xfId="0" applyFont="1" applyBorder="1" applyAlignment="1">
      <alignment horizontal="center" vertical="center"/>
    </xf>
    <xf numFmtId="0" fontId="5" fillId="6" borderId="1" xfId="0" applyFont="1" applyFill="1" applyBorder="1" applyAlignment="1" applyProtection="1">
      <alignment horizontal="center"/>
      <protection locked="0"/>
    </xf>
    <xf numFmtId="168" fontId="9" fillId="2" borderId="0" xfId="0" applyNumberFormat="1" applyFont="1" applyFill="1" applyAlignment="1">
      <alignment horizontal="center"/>
    </xf>
    <xf numFmtId="169" fontId="9" fillId="2" borderId="0" xfId="0" applyNumberFormat="1" applyFont="1" applyFill="1" applyAlignment="1">
      <alignment horizontal="center"/>
    </xf>
    <xf numFmtId="0" fontId="22" fillId="2" borderId="0" xfId="0" applyFont="1" applyFill="1" applyAlignment="1">
      <alignment horizontal="center" vertical="center" wrapText="1"/>
    </xf>
    <xf numFmtId="0" fontId="14" fillId="2" borderId="6" xfId="0" applyFont="1" applyFill="1" applyBorder="1" applyAlignment="1">
      <alignment horizontal="right" vertical="center" wrapText="1"/>
    </xf>
    <xf numFmtId="171" fontId="13" fillId="2" borderId="0" xfId="0" applyNumberFormat="1" applyFont="1" applyFill="1" applyAlignment="1">
      <alignment horizontal="left"/>
    </xf>
    <xf numFmtId="166" fontId="5" fillId="2" borderId="0" xfId="0" applyNumberFormat="1" applyFont="1" applyFill="1" applyAlignment="1">
      <alignment horizontal="left"/>
    </xf>
    <xf numFmtId="173" fontId="5" fillId="2" borderId="0" xfId="0" applyNumberFormat="1" applyFont="1" applyFill="1" applyAlignment="1">
      <alignment horizontal="left"/>
    </xf>
    <xf numFmtId="0" fontId="14" fillId="2" borderId="6" xfId="0" applyFont="1" applyFill="1" applyBorder="1" applyAlignment="1">
      <alignment vertical="center" wrapText="1"/>
    </xf>
    <xf numFmtId="166" fontId="5" fillId="6" borderId="1" xfId="0" applyNumberFormat="1" applyFont="1" applyFill="1" applyBorder="1" applyAlignment="1" applyProtection="1">
      <alignment horizontal="center"/>
      <protection locked="0"/>
    </xf>
    <xf numFmtId="168" fontId="5" fillId="6" borderId="1" xfId="0" applyNumberFormat="1" applyFont="1" applyFill="1" applyBorder="1" applyAlignment="1" applyProtection="1">
      <alignment horizontal="center"/>
      <protection locked="0"/>
    </xf>
    <xf numFmtId="168" fontId="5" fillId="6" borderId="1" xfId="0" applyNumberFormat="1" applyFont="1" applyFill="1" applyBorder="1" applyAlignment="1" applyProtection="1">
      <alignment horizontal="center" vertical="center"/>
      <protection locked="0"/>
    </xf>
    <xf numFmtId="0" fontId="5" fillId="6" borderId="1" xfId="0" applyFont="1" applyFill="1" applyBorder="1" applyAlignment="1" applyProtection="1">
      <alignment horizontal="center" vertical="center"/>
      <protection locked="0"/>
    </xf>
    <xf numFmtId="0" fontId="0" fillId="0" borderId="0" xfId="0" applyAlignment="1">
      <alignment horizontal="center" vertical="center"/>
    </xf>
    <xf numFmtId="0" fontId="11" fillId="5" borderId="0" xfId="0" applyFont="1" applyFill="1" applyAlignment="1">
      <alignment vertical="center" wrapText="1"/>
    </xf>
    <xf numFmtId="0" fontId="14" fillId="2" borderId="0" xfId="0" applyFont="1" applyFill="1" applyAlignment="1">
      <alignment vertical="center" wrapText="1"/>
    </xf>
    <xf numFmtId="0" fontId="39" fillId="7" borderId="14" xfId="0" applyFont="1" applyFill="1" applyBorder="1" applyAlignment="1">
      <alignment horizontal="center"/>
    </xf>
    <xf numFmtId="0" fontId="39" fillId="7" borderId="9" xfId="0" applyFont="1" applyFill="1" applyBorder="1" applyAlignment="1">
      <alignment horizontal="center"/>
    </xf>
    <xf numFmtId="0" fontId="39" fillId="7" borderId="8" xfId="0" applyFont="1" applyFill="1" applyBorder="1" applyAlignment="1">
      <alignment horizontal="center"/>
    </xf>
    <xf numFmtId="0" fontId="41" fillId="2" borderId="6" xfId="0" applyFont="1" applyFill="1" applyBorder="1" applyAlignment="1">
      <alignment vertical="center"/>
    </xf>
    <xf numFmtId="0" fontId="39" fillId="7" borderId="5" xfId="0" applyFont="1" applyFill="1" applyBorder="1" applyAlignment="1">
      <alignment horizontal="center"/>
    </xf>
    <xf numFmtId="0" fontId="39" fillId="7" borderId="0" xfId="0" applyFont="1" applyFill="1" applyAlignment="1">
      <alignment horizontal="center"/>
    </xf>
    <xf numFmtId="0" fontId="39" fillId="7" borderId="7" xfId="0" applyFont="1" applyFill="1" applyBorder="1" applyAlignment="1">
      <alignment horizontal="center"/>
    </xf>
    <xf numFmtId="0" fontId="40" fillId="2" borderId="2" xfId="0" applyFont="1" applyFill="1" applyBorder="1" applyProtection="1">
      <protection hidden="1"/>
    </xf>
    <xf numFmtId="0" fontId="40" fillId="13" borderId="0" xfId="0" applyFont="1" applyFill="1" applyAlignment="1" applyProtection="1">
      <alignment horizontal="center"/>
      <protection hidden="1"/>
    </xf>
    <xf numFmtId="164" fontId="40" fillId="2" borderId="0" xfId="3" applyFont="1" applyFill="1" applyBorder="1" applyProtection="1">
      <protection locked="0" hidden="1"/>
    </xf>
    <xf numFmtId="164" fontId="40" fillId="2" borderId="7" xfId="0" applyNumberFormat="1" applyFont="1" applyFill="1" applyBorder="1" applyProtection="1">
      <protection hidden="1"/>
    </xf>
    <xf numFmtId="0" fontId="40" fillId="13" borderId="4" xfId="0" applyFont="1" applyFill="1" applyBorder="1" applyAlignment="1" applyProtection="1">
      <alignment horizontal="center"/>
      <protection hidden="1"/>
    </xf>
    <xf numFmtId="164" fontId="40" fillId="2" borderId="4" xfId="3" applyFont="1" applyFill="1" applyBorder="1" applyProtection="1">
      <protection locked="0" hidden="1"/>
    </xf>
    <xf numFmtId="164" fontId="40" fillId="2" borderId="3" xfId="0" applyNumberFormat="1" applyFont="1" applyFill="1" applyBorder="1" applyProtection="1">
      <protection hidden="1"/>
    </xf>
    <xf numFmtId="0" fontId="40" fillId="2" borderId="5" xfId="0" applyFont="1" applyFill="1" applyBorder="1" applyProtection="1">
      <protection hidden="1"/>
    </xf>
    <xf numFmtId="164" fontId="40" fillId="2" borderId="3" xfId="3" applyFont="1" applyFill="1" applyBorder="1" applyProtection="1">
      <protection locked="0" hidden="1"/>
    </xf>
    <xf numFmtId="0" fontId="40" fillId="0" borderId="5" xfId="0" applyFont="1" applyBorder="1" applyProtection="1">
      <protection hidden="1"/>
    </xf>
    <xf numFmtId="0" fontId="40" fillId="0" borderId="2" xfId="0" applyFont="1" applyBorder="1" applyProtection="1">
      <protection hidden="1"/>
    </xf>
    <xf numFmtId="164" fontId="40" fillId="2" borderId="6" xfId="3" applyFont="1" applyFill="1" applyBorder="1" applyProtection="1">
      <protection locked="0" hidden="1"/>
    </xf>
    <xf numFmtId="0" fontId="39" fillId="7" borderId="1" xfId="0" applyFont="1" applyFill="1" applyBorder="1" applyAlignment="1" applyProtection="1">
      <alignment horizontal="left" vertical="center"/>
      <protection hidden="1"/>
    </xf>
    <xf numFmtId="0" fontId="38" fillId="2" borderId="1" xfId="0" applyFont="1" applyFill="1" applyBorder="1" applyProtection="1">
      <protection hidden="1"/>
    </xf>
    <xf numFmtId="166" fontId="7" fillId="2" borderId="1" xfId="0" applyNumberFormat="1" applyFont="1" applyFill="1" applyBorder="1" applyProtection="1">
      <protection locked="0" hidden="1"/>
    </xf>
    <xf numFmtId="164" fontId="38" fillId="14" borderId="1" xfId="0" applyNumberFormat="1" applyFont="1" applyFill="1" applyBorder="1" applyProtection="1">
      <protection hidden="1"/>
    </xf>
    <xf numFmtId="164" fontId="38" fillId="14" borderId="1" xfId="3" applyFont="1" applyFill="1" applyBorder="1" applyProtection="1">
      <protection hidden="1"/>
    </xf>
    <xf numFmtId="0" fontId="39" fillId="7" borderId="5" xfId="0" applyFont="1" applyFill="1" applyBorder="1" applyAlignment="1" applyProtection="1">
      <alignment horizontal="center"/>
      <protection hidden="1"/>
    </xf>
    <xf numFmtId="0" fontId="39" fillId="7" borderId="0" xfId="0" applyFont="1" applyFill="1" applyAlignment="1" applyProtection="1">
      <alignment horizontal="center"/>
      <protection hidden="1"/>
    </xf>
    <xf numFmtId="0" fontId="39" fillId="7" borderId="7" xfId="0" applyFont="1" applyFill="1" applyBorder="1" applyAlignment="1" applyProtection="1">
      <alignment horizontal="center"/>
      <protection hidden="1"/>
    </xf>
    <xf numFmtId="0" fontId="40" fillId="13" borderId="6" xfId="0" applyFont="1" applyFill="1" applyBorder="1" applyAlignment="1" applyProtection="1">
      <alignment horizontal="center"/>
      <protection hidden="1"/>
    </xf>
    <xf numFmtId="0" fontId="0" fillId="0" borderId="0" xfId="0" applyAlignment="1">
      <alignment vertical="center"/>
    </xf>
    <xf numFmtId="0" fontId="13" fillId="2" borderId="0" xfId="0" applyFont="1" applyFill="1" applyAlignment="1">
      <alignment horizontal="center"/>
    </xf>
    <xf numFmtId="2" fontId="13" fillId="2" borderId="0" xfId="0" applyNumberFormat="1" applyFont="1" applyFill="1" applyAlignment="1">
      <alignment horizontal="right" vertical="center"/>
    </xf>
    <xf numFmtId="165" fontId="13" fillId="2" borderId="0" xfId="0" applyNumberFormat="1" applyFont="1" applyFill="1" applyAlignment="1">
      <alignment horizontal="center"/>
    </xf>
    <xf numFmtId="167" fontId="13" fillId="2" borderId="0" xfId="0" applyNumberFormat="1" applyFont="1" applyFill="1" applyAlignment="1">
      <alignment horizontal="center"/>
    </xf>
    <xf numFmtId="0" fontId="55" fillId="2" borderId="0" xfId="0" applyFont="1" applyFill="1" applyAlignment="1">
      <alignment horizontal="center" vertical="center"/>
    </xf>
    <xf numFmtId="0" fontId="23" fillId="0" borderId="0" xfId="0" applyFont="1"/>
    <xf numFmtId="0" fontId="0" fillId="4" borderId="1" xfId="0" applyFill="1" applyBorder="1" applyAlignment="1">
      <alignment horizontal="center"/>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right" vertical="center" wrapText="1"/>
    </xf>
    <xf numFmtId="0" fontId="3" fillId="4" borderId="1" xfId="0" applyFont="1" applyFill="1" applyBorder="1" applyAlignment="1">
      <alignment horizontal="right" vertical="center" wrapText="1"/>
    </xf>
    <xf numFmtId="0" fontId="3" fillId="4" borderId="1" xfId="0" applyFont="1" applyFill="1" applyBorder="1" applyAlignment="1">
      <alignment horizontal="center" vertical="center" wrapText="1"/>
    </xf>
    <xf numFmtId="0" fontId="38" fillId="4" borderId="1" xfId="0" applyFont="1" applyFill="1" applyBorder="1"/>
    <xf numFmtId="0" fontId="54" fillId="0" borderId="1" xfId="0" applyFont="1" applyBorder="1" applyAlignment="1">
      <alignment horizontal="center"/>
    </xf>
    <xf numFmtId="0" fontId="54" fillId="0" borderId="1" xfId="0" applyFont="1" applyBorder="1" applyAlignment="1">
      <alignment horizontal="center" vertical="center"/>
    </xf>
    <xf numFmtId="1" fontId="54" fillId="0" borderId="1" xfId="0" applyNumberFormat="1" applyFont="1" applyBorder="1" applyAlignment="1">
      <alignment horizontal="center" vertical="center"/>
    </xf>
    <xf numFmtId="1" fontId="1" fillId="0" borderId="1" xfId="0" applyNumberFormat="1" applyFont="1" applyBorder="1" applyAlignment="1">
      <alignment horizontal="center" vertical="center" wrapText="1"/>
    </xf>
    <xf numFmtId="3" fontId="54" fillId="0" borderId="1" xfId="0" applyNumberFormat="1" applyFont="1" applyBorder="1" applyAlignment="1">
      <alignment horizontal="center" vertical="center"/>
    </xf>
    <xf numFmtId="2" fontId="8" fillId="2" borderId="0" xfId="0" applyNumberFormat="1" applyFont="1" applyFill="1" applyAlignment="1">
      <alignment horizontal="right" vertical="center"/>
    </xf>
    <xf numFmtId="0" fontId="38" fillId="4" borderId="1" xfId="0" applyFont="1" applyFill="1" applyBorder="1" applyAlignment="1">
      <alignment horizontal="center"/>
    </xf>
    <xf numFmtId="168" fontId="0" fillId="0" borderId="0" xfId="0" applyNumberFormat="1" applyAlignment="1">
      <alignment horizontal="center"/>
    </xf>
    <xf numFmtId="168" fontId="9" fillId="2" borderId="9" xfId="0" applyNumberFormat="1" applyFont="1" applyFill="1" applyBorder="1" applyAlignment="1">
      <alignment horizontal="center"/>
    </xf>
    <xf numFmtId="0" fontId="0" fillId="0" borderId="1" xfId="0" applyBorder="1"/>
    <xf numFmtId="0" fontId="13" fillId="2" borderId="7" xfId="0" applyFont="1" applyFill="1" applyBorder="1" applyAlignment="1" applyProtection="1">
      <alignment horizontal="center"/>
      <protection locked="0"/>
    </xf>
    <xf numFmtId="180" fontId="38" fillId="14" borderId="1" xfId="0" applyNumberFormat="1" applyFont="1" applyFill="1" applyBorder="1" applyProtection="1">
      <protection hidden="1"/>
    </xf>
    <xf numFmtId="0" fontId="5" fillId="2" borderId="14" xfId="0" applyFont="1" applyFill="1" applyBorder="1" applyAlignment="1">
      <alignment horizontal="left"/>
    </xf>
    <xf numFmtId="0" fontId="5" fillId="2" borderId="8" xfId="0" applyFont="1" applyFill="1" applyBorder="1" applyAlignment="1">
      <alignment horizontal="left"/>
    </xf>
    <xf numFmtId="0" fontId="54" fillId="0" borderId="0" xfId="0" applyFont="1" applyAlignment="1">
      <alignment horizontal="center" vertical="center"/>
    </xf>
    <xf numFmtId="0" fontId="0" fillId="0" borderId="1" xfId="0" applyBorder="1" applyAlignment="1">
      <alignment horizontal="center" vertical="center"/>
    </xf>
    <xf numFmtId="1" fontId="0" fillId="0" borderId="1" xfId="0" applyNumberFormat="1" applyBorder="1" applyAlignment="1">
      <alignment horizontal="center" vertical="center"/>
    </xf>
    <xf numFmtId="1" fontId="54" fillId="0" borderId="0" xfId="0" applyNumberFormat="1" applyFont="1" applyAlignment="1">
      <alignment horizontal="center" vertical="center"/>
    </xf>
    <xf numFmtId="0" fontId="0" fillId="0" borderId="0" xfId="0" applyAlignment="1">
      <alignment horizontal="left" vertical="center"/>
    </xf>
    <xf numFmtId="1" fontId="1" fillId="0" borderId="0" xfId="0" applyNumberFormat="1" applyFont="1" applyAlignment="1">
      <alignment horizontal="center" vertical="center" wrapText="1"/>
    </xf>
    <xf numFmtId="0" fontId="54" fillId="0" borderId="0" xfId="0" applyFont="1" applyAlignment="1">
      <alignment horizontal="left"/>
    </xf>
    <xf numFmtId="0" fontId="54" fillId="0" borderId="0" xfId="0" applyFont="1" applyAlignment="1">
      <alignment horizontal="center"/>
    </xf>
    <xf numFmtId="1" fontId="0" fillId="0" borderId="0" xfId="0" applyNumberFormat="1" applyAlignment="1">
      <alignment horizontal="center" vertical="center"/>
    </xf>
    <xf numFmtId="2" fontId="13" fillId="2" borderId="0" xfId="0" applyNumberFormat="1" applyFont="1" applyFill="1"/>
    <xf numFmtId="0" fontId="9" fillId="0" borderId="0" xfId="0" applyFont="1"/>
    <xf numFmtId="0" fontId="5" fillId="2" borderId="1" xfId="0" applyFont="1" applyFill="1" applyBorder="1" applyAlignment="1">
      <alignment vertical="center"/>
    </xf>
    <xf numFmtId="170" fontId="45" fillId="2" borderId="1" xfId="0" applyNumberFormat="1" applyFont="1" applyFill="1" applyBorder="1" applyAlignment="1">
      <alignment horizontal="center" vertical="center"/>
    </xf>
    <xf numFmtId="0" fontId="51" fillId="2" borderId="1" xfId="0" applyFont="1" applyFill="1" applyBorder="1" applyAlignment="1">
      <alignment horizontal="center" vertical="center"/>
    </xf>
    <xf numFmtId="0" fontId="13" fillId="2" borderId="8" xfId="0" applyFont="1" applyFill="1" applyBorder="1"/>
    <xf numFmtId="0" fontId="13" fillId="2" borderId="7" xfId="0" applyFont="1" applyFill="1" applyBorder="1"/>
    <xf numFmtId="0" fontId="13" fillId="2" borderId="10" xfId="0" applyFont="1" applyFill="1" applyBorder="1"/>
    <xf numFmtId="2" fontId="13" fillId="2" borderId="13" xfId="0" applyNumberFormat="1" applyFont="1" applyFill="1" applyBorder="1" applyAlignment="1">
      <alignment horizontal="right"/>
    </xf>
    <xf numFmtId="2" fontId="13" fillId="2" borderId="12" xfId="0" applyNumberFormat="1" applyFont="1" applyFill="1" applyBorder="1" applyAlignment="1">
      <alignment horizontal="right"/>
    </xf>
    <xf numFmtId="2" fontId="13" fillId="2" borderId="12" xfId="0" applyNumberFormat="1" applyFont="1" applyFill="1" applyBorder="1" applyAlignment="1">
      <alignment horizontal="right" vertical="center"/>
    </xf>
    <xf numFmtId="2" fontId="5" fillId="0" borderId="12" xfId="0" applyNumberFormat="1" applyFont="1" applyBorder="1" applyAlignment="1">
      <alignment horizontal="right"/>
    </xf>
    <xf numFmtId="2" fontId="13" fillId="0" borderId="12" xfId="0" applyNumberFormat="1" applyFont="1" applyBorder="1" applyAlignment="1">
      <alignment horizontal="right"/>
    </xf>
    <xf numFmtId="2" fontId="5" fillId="0" borderId="12" xfId="0" applyNumberFormat="1" applyFont="1" applyBorder="1"/>
    <xf numFmtId="2" fontId="9" fillId="0" borderId="12" xfId="0" applyNumberFormat="1" applyFont="1" applyBorder="1"/>
    <xf numFmtId="2" fontId="13" fillId="0" borderId="12" xfId="0" applyNumberFormat="1" applyFont="1" applyBorder="1" applyAlignment="1">
      <alignment horizontal="right" vertical="center"/>
    </xf>
    <xf numFmtId="2" fontId="13" fillId="17" borderId="12" xfId="0" applyNumberFormat="1" applyFont="1" applyFill="1" applyBorder="1" applyAlignment="1">
      <alignment horizontal="right" vertical="center"/>
    </xf>
    <xf numFmtId="2" fontId="9" fillId="6" borderId="12" xfId="0" applyNumberFormat="1" applyFont="1" applyFill="1" applyBorder="1"/>
    <xf numFmtId="2" fontId="13" fillId="2" borderId="11" xfId="0" applyNumberFormat="1" applyFont="1" applyFill="1" applyBorder="1" applyAlignment="1">
      <alignment horizontal="right" vertical="center"/>
    </xf>
    <xf numFmtId="2" fontId="5" fillId="0" borderId="13" xfId="0" applyNumberFormat="1" applyFont="1" applyBorder="1"/>
    <xf numFmtId="2" fontId="5" fillId="0" borderId="11" xfId="0" applyNumberFormat="1" applyFont="1" applyBorder="1"/>
    <xf numFmtId="2" fontId="9" fillId="0" borderId="13" xfId="0" applyNumberFormat="1" applyFont="1" applyBorder="1"/>
    <xf numFmtId="2" fontId="13" fillId="0" borderId="11" xfId="0" applyNumberFormat="1" applyFont="1" applyBorder="1" applyAlignment="1">
      <alignment horizontal="right" vertical="center"/>
    </xf>
    <xf numFmtId="2" fontId="9" fillId="0" borderId="11" xfId="0" applyNumberFormat="1" applyFont="1" applyBorder="1"/>
    <xf numFmtId="2" fontId="57" fillId="0" borderId="1" xfId="0" applyNumberFormat="1" applyFont="1" applyBorder="1" applyAlignment="1">
      <alignment horizontal="center"/>
    </xf>
    <xf numFmtId="0" fontId="58" fillId="4" borderId="1" xfId="0" applyFont="1" applyFill="1" applyBorder="1"/>
    <xf numFmtId="2" fontId="35" fillId="6" borderId="29" xfId="0" applyNumberFormat="1" applyFont="1" applyFill="1" applyBorder="1" applyAlignment="1">
      <alignment horizontal="center" vertical="center"/>
    </xf>
    <xf numFmtId="2" fontId="35" fillId="6" borderId="30" xfId="0" applyNumberFormat="1" applyFont="1" applyFill="1" applyBorder="1" applyAlignment="1">
      <alignment horizontal="center" vertical="center"/>
    </xf>
    <xf numFmtId="2" fontId="35" fillId="6" borderId="0" xfId="0" applyNumberFormat="1" applyFont="1" applyFill="1" applyAlignment="1">
      <alignment horizontal="center" vertical="center"/>
    </xf>
    <xf numFmtId="2" fontId="35" fillId="6" borderId="27" xfId="0" applyNumberFormat="1" applyFont="1" applyFill="1" applyBorder="1" applyAlignment="1">
      <alignment horizontal="center" vertical="center"/>
    </xf>
    <xf numFmtId="0" fontId="16" fillId="2" borderId="6" xfId="0" applyFont="1" applyFill="1" applyBorder="1" applyAlignment="1">
      <alignment horizontal="center" vertical="top" wrapText="1"/>
    </xf>
    <xf numFmtId="0" fontId="16" fillId="2" borderId="15" xfId="0" applyFont="1" applyFill="1" applyBorder="1" applyAlignment="1">
      <alignment horizontal="center" vertical="top" wrapText="1"/>
    </xf>
    <xf numFmtId="0" fontId="43" fillId="2" borderId="0" xfId="0" applyFont="1" applyFill="1" applyAlignment="1">
      <alignment horizontal="left"/>
    </xf>
    <xf numFmtId="0" fontId="42" fillId="2" borderId="9" xfId="0" applyFont="1" applyFill="1" applyBorder="1"/>
    <xf numFmtId="0" fontId="42" fillId="2" borderId="8" xfId="0" applyFont="1" applyFill="1" applyBorder="1"/>
    <xf numFmtId="0" fontId="42" fillId="2" borderId="6" xfId="0" applyFont="1" applyFill="1" applyBorder="1"/>
    <xf numFmtId="0" fontId="42" fillId="2" borderId="10" xfId="0" applyFont="1" applyFill="1" applyBorder="1"/>
    <xf numFmtId="0" fontId="42" fillId="2" borderId="15" xfId="0" applyFont="1" applyFill="1" applyBorder="1"/>
    <xf numFmtId="0" fontId="42" fillId="2" borderId="2" xfId="0" applyFont="1" applyFill="1" applyBorder="1"/>
    <xf numFmtId="0" fontId="42" fillId="2" borderId="4" xfId="0" applyFont="1" applyFill="1" applyBorder="1"/>
    <xf numFmtId="0" fontId="42" fillId="2" borderId="3" xfId="0" applyFont="1" applyFill="1" applyBorder="1"/>
    <xf numFmtId="0" fontId="0" fillId="4" borderId="1" xfId="0" applyFill="1" applyBorder="1" applyAlignment="1">
      <alignment horizontal="left"/>
    </xf>
    <xf numFmtId="0" fontId="0" fillId="4" borderId="1" xfId="0" applyFill="1" applyBorder="1" applyAlignment="1">
      <alignment horizontal="left" wrapText="1"/>
    </xf>
    <xf numFmtId="0" fontId="0" fillId="0" borderId="9" xfId="0" applyBorder="1" applyAlignment="1">
      <alignment horizontal="center" vertical="center"/>
    </xf>
    <xf numFmtId="168" fontId="0" fillId="0" borderId="1" xfId="0" applyNumberFormat="1" applyBorder="1" applyAlignment="1">
      <alignment horizontal="center"/>
    </xf>
    <xf numFmtId="183" fontId="0" fillId="0" borderId="1" xfId="0" applyNumberFormat="1" applyBorder="1" applyAlignment="1">
      <alignment horizontal="center"/>
    </xf>
    <xf numFmtId="1" fontId="0" fillId="0" borderId="0" xfId="0" applyNumberFormat="1" applyAlignment="1">
      <alignment horizontal="center"/>
    </xf>
    <xf numFmtId="0" fontId="0" fillId="4" borderId="2" xfId="0" applyFill="1" applyBorder="1" applyAlignment="1">
      <alignment horizontal="center" vertical="center"/>
    </xf>
    <xf numFmtId="0" fontId="0" fillId="4" borderId="4" xfId="0" applyFill="1" applyBorder="1" applyAlignment="1">
      <alignment horizontal="center" vertical="center" wrapText="1"/>
    </xf>
    <xf numFmtId="0" fontId="0" fillId="4" borderId="4" xfId="0" applyFill="1" applyBorder="1" applyAlignment="1">
      <alignment horizontal="center" wrapText="1"/>
    </xf>
    <xf numFmtId="182" fontId="0" fillId="0" borderId="0" xfId="2" applyNumberFormat="1" applyFont="1" applyBorder="1" applyAlignment="1">
      <alignment horizontal="center"/>
    </xf>
    <xf numFmtId="0" fontId="0" fillId="4" borderId="3" xfId="0" applyFill="1" applyBorder="1" applyAlignment="1">
      <alignment horizontal="center" vertical="center" wrapText="1"/>
    </xf>
    <xf numFmtId="168" fontId="0" fillId="16" borderId="0" xfId="0" applyNumberFormat="1" applyFill="1" applyAlignment="1">
      <alignment horizontal="center"/>
    </xf>
    <xf numFmtId="1" fontId="0" fillId="16" borderId="0" xfId="0" applyNumberFormat="1" applyFill="1" applyAlignment="1">
      <alignment horizontal="center"/>
    </xf>
    <xf numFmtId="182" fontId="0" fillId="16" borderId="0" xfId="2" applyNumberFormat="1" applyFont="1" applyFill="1" applyBorder="1" applyAlignment="1">
      <alignment horizontal="center"/>
    </xf>
    <xf numFmtId="168" fontId="0" fillId="16" borderId="6" xfId="0" applyNumberFormat="1" applyFill="1" applyBorder="1" applyAlignment="1">
      <alignment horizontal="center"/>
    </xf>
    <xf numFmtId="182" fontId="0" fillId="16" borderId="6" xfId="2" applyNumberFormat="1" applyFont="1" applyFill="1" applyBorder="1" applyAlignment="1">
      <alignment horizontal="center"/>
    </xf>
    <xf numFmtId="1" fontId="0" fillId="0" borderId="8" xfId="0" applyNumberFormat="1" applyBorder="1" applyAlignment="1">
      <alignment horizontal="center"/>
    </xf>
    <xf numFmtId="1" fontId="0" fillId="16" borderId="7" xfId="0" applyNumberFormat="1" applyFill="1" applyBorder="1" applyAlignment="1">
      <alignment horizontal="center"/>
    </xf>
    <xf numFmtId="1" fontId="0" fillId="16" borderId="10" xfId="0" applyNumberFormat="1" applyFill="1" applyBorder="1" applyAlignment="1">
      <alignment horizontal="center"/>
    </xf>
    <xf numFmtId="1" fontId="0" fillId="2" borderId="7" xfId="0" applyNumberFormat="1" applyFill="1" applyBorder="1" applyAlignment="1">
      <alignment horizontal="center"/>
    </xf>
    <xf numFmtId="178" fontId="0" fillId="16" borderId="0" xfId="0" applyNumberFormat="1" applyFill="1" applyAlignment="1">
      <alignment horizontal="center"/>
    </xf>
    <xf numFmtId="178" fontId="0" fillId="0" borderId="0" xfId="0" applyNumberFormat="1" applyAlignment="1">
      <alignment horizontal="center"/>
    </xf>
    <xf numFmtId="178" fontId="0" fillId="16" borderId="6" xfId="0" applyNumberFormat="1" applyFill="1" applyBorder="1" applyAlignment="1">
      <alignment horizontal="center"/>
    </xf>
    <xf numFmtId="0" fontId="0" fillId="0" borderId="9" xfId="0" applyBorder="1"/>
    <xf numFmtId="0" fontId="17" fillId="2" borderId="1" xfId="0" applyFont="1" applyFill="1" applyBorder="1" applyAlignment="1">
      <alignment horizontal="center"/>
    </xf>
    <xf numFmtId="0" fontId="0" fillId="4" borderId="1" xfId="0" applyFill="1" applyBorder="1"/>
    <xf numFmtId="178" fontId="54" fillId="0" borderId="1" xfId="0" applyNumberFormat="1" applyFont="1" applyBorder="1" applyAlignment="1">
      <alignment horizontal="center" vertical="center"/>
    </xf>
    <xf numFmtId="0" fontId="60" fillId="0" borderId="1" xfId="0" applyFont="1" applyBorder="1" applyAlignment="1">
      <alignment horizontal="center" vertical="center"/>
    </xf>
    <xf numFmtId="0" fontId="15" fillId="2" borderId="0" xfId="0" applyFont="1" applyFill="1" applyAlignment="1">
      <alignment horizontal="center"/>
    </xf>
    <xf numFmtId="0" fontId="14" fillId="2" borderId="0" xfId="0" applyFont="1" applyFill="1" applyAlignment="1">
      <alignment horizontal="center" vertical="center" wrapText="1"/>
    </xf>
    <xf numFmtId="2" fontId="0" fillId="0" borderId="0" xfId="0" applyNumberFormat="1" applyAlignment="1">
      <alignment horizontal="center"/>
    </xf>
    <xf numFmtId="181" fontId="5" fillId="6" borderId="1" xfId="0" applyNumberFormat="1" applyFont="1" applyFill="1" applyBorder="1" applyAlignment="1" applyProtection="1">
      <alignment horizontal="center"/>
      <protection locked="0"/>
    </xf>
    <xf numFmtId="184" fontId="5" fillId="6" borderId="1" xfId="0" applyNumberFormat="1" applyFont="1" applyFill="1" applyBorder="1" applyAlignment="1" applyProtection="1">
      <alignment horizontal="center"/>
      <protection locked="0"/>
    </xf>
    <xf numFmtId="0" fontId="49" fillId="0" borderId="1" xfId="0" applyFont="1" applyBorder="1" applyAlignment="1">
      <alignment horizontal="center" vertical="top"/>
    </xf>
    <xf numFmtId="0" fontId="17" fillId="0" borderId="1" xfId="0" applyFont="1" applyBorder="1" applyAlignment="1">
      <alignment horizontal="center" vertical="top"/>
    </xf>
    <xf numFmtId="0" fontId="49" fillId="0" borderId="12" xfId="0" applyFont="1" applyBorder="1" applyAlignment="1">
      <alignment horizontal="center"/>
    </xf>
    <xf numFmtId="0" fontId="49" fillId="0" borderId="8" xfId="0" applyFont="1" applyBorder="1" applyAlignment="1">
      <alignment horizontal="center"/>
    </xf>
    <xf numFmtId="0" fontId="49" fillId="0" borderId="13" xfId="0" applyFont="1" applyBorder="1" applyAlignment="1">
      <alignment horizontal="center"/>
    </xf>
    <xf numFmtId="0" fontId="17" fillId="0" borderId="40" xfId="0" applyFont="1" applyBorder="1" applyAlignment="1">
      <alignment horizontal="center"/>
    </xf>
    <xf numFmtId="172" fontId="17" fillId="0" borderId="12" xfId="0" applyNumberFormat="1" applyFont="1" applyBorder="1" applyAlignment="1">
      <alignment horizontal="center" vertical="top"/>
    </xf>
    <xf numFmtId="172" fontId="17" fillId="0" borderId="7" xfId="0" applyNumberFormat="1" applyFont="1" applyBorder="1" applyAlignment="1">
      <alignment horizontal="center" vertical="top"/>
    </xf>
    <xf numFmtId="0" fontId="17" fillId="0" borderId="43" xfId="0" applyFont="1" applyBorder="1" applyAlignment="1">
      <alignment horizontal="center"/>
    </xf>
    <xf numFmtId="0" fontId="0" fillId="0" borderId="11" xfId="0" applyBorder="1" applyAlignment="1">
      <alignment horizontal="center" vertical="center"/>
    </xf>
    <xf numFmtId="0" fontId="62" fillId="2" borderId="0" xfId="0" applyFont="1" applyFill="1" applyAlignment="1">
      <alignment vertical="center" wrapText="1"/>
    </xf>
    <xf numFmtId="0" fontId="16" fillId="2" borderId="0" xfId="0" applyFont="1" applyFill="1" applyAlignment="1">
      <alignment horizontal="left" vertical="top"/>
    </xf>
    <xf numFmtId="0" fontId="5" fillId="2" borderId="2" xfId="0" applyFont="1" applyFill="1" applyBorder="1" applyAlignment="1">
      <alignment horizontal="left"/>
    </xf>
    <xf numFmtId="0" fontId="5" fillId="2" borderId="3" xfId="0" applyFont="1" applyFill="1" applyBorder="1" applyAlignment="1">
      <alignment horizontal="left"/>
    </xf>
    <xf numFmtId="0" fontId="0" fillId="2" borderId="7" xfId="0" applyFill="1" applyBorder="1"/>
    <xf numFmtId="0" fontId="9" fillId="2" borderId="1" xfId="0" applyFont="1" applyFill="1" applyBorder="1" applyAlignment="1">
      <alignment horizontal="center" vertical="center" wrapText="1"/>
    </xf>
    <xf numFmtId="0" fontId="0" fillId="0" borderId="12" xfId="0" applyBorder="1" applyAlignment="1">
      <alignment horizontal="center"/>
    </xf>
    <xf numFmtId="0" fontId="64" fillId="0" borderId="1" xfId="0" applyFont="1" applyBorder="1" applyAlignment="1">
      <alignment horizontal="center"/>
    </xf>
    <xf numFmtId="49" fontId="7" fillId="0" borderId="0" xfId="0" applyNumberFormat="1" applyFont="1" applyAlignment="1">
      <alignment horizontal="center"/>
    </xf>
    <xf numFmtId="174" fontId="17" fillId="0" borderId="1" xfId="0" applyNumberFormat="1" applyFont="1" applyBorder="1" applyAlignment="1">
      <alignment horizontal="center" vertical="top"/>
    </xf>
    <xf numFmtId="168" fontId="17" fillId="0" borderId="40" xfId="0" applyNumberFormat="1" applyFont="1" applyBorder="1" applyAlignment="1">
      <alignment horizontal="center" vertical="top"/>
    </xf>
    <xf numFmtId="168" fontId="17" fillId="0" borderId="43" xfId="0" applyNumberFormat="1" applyFont="1" applyBorder="1" applyAlignment="1">
      <alignment horizontal="center" vertical="top"/>
    </xf>
    <xf numFmtId="2" fontId="0" fillId="0" borderId="5" xfId="0" applyNumberFormat="1" applyBorder="1" applyAlignment="1">
      <alignment horizontal="center"/>
    </xf>
    <xf numFmtId="2" fontId="0" fillId="16" borderId="5" xfId="0" applyNumberFormat="1" applyFill="1" applyBorder="1" applyAlignment="1">
      <alignment horizontal="center"/>
    </xf>
    <xf numFmtId="2" fontId="0" fillId="16" borderId="15" xfId="0" applyNumberFormat="1" applyFill="1" applyBorder="1" applyAlignment="1">
      <alignment horizontal="center"/>
    </xf>
    <xf numFmtId="9" fontId="0" fillId="0" borderId="5" xfId="2" applyFont="1" applyBorder="1" applyAlignment="1">
      <alignment horizontal="center"/>
    </xf>
    <xf numFmtId="9" fontId="0" fillId="16" borderId="5" xfId="2" applyFont="1" applyFill="1" applyBorder="1" applyAlignment="1">
      <alignment horizontal="center"/>
    </xf>
    <xf numFmtId="9" fontId="0" fillId="16" borderId="15" xfId="2" applyFont="1" applyFill="1" applyBorder="1" applyAlignment="1">
      <alignment horizontal="center"/>
    </xf>
    <xf numFmtId="2" fontId="0" fillId="0" borderId="13" xfId="0" applyNumberFormat="1" applyBorder="1" applyAlignment="1">
      <alignment horizontal="center"/>
    </xf>
    <xf numFmtId="2" fontId="0" fillId="16" borderId="12" xfId="0" applyNumberFormat="1" applyFill="1" applyBorder="1" applyAlignment="1">
      <alignment horizontal="center"/>
    </xf>
    <xf numFmtId="2" fontId="0" fillId="0" borderId="12" xfId="0" applyNumberFormat="1" applyBorder="1" applyAlignment="1">
      <alignment horizontal="center"/>
    </xf>
    <xf numFmtId="2" fontId="0" fillId="16" borderId="11" xfId="0" applyNumberFormat="1" applyFill="1" applyBorder="1" applyAlignment="1">
      <alignment horizontal="center"/>
    </xf>
    <xf numFmtId="1" fontId="0" fillId="0" borderId="7" xfId="0" applyNumberFormat="1" applyBorder="1" applyAlignment="1">
      <alignment horizontal="center"/>
    </xf>
    <xf numFmtId="1" fontId="0" fillId="16" borderId="11" xfId="0" applyNumberFormat="1" applyFill="1" applyBorder="1" applyAlignment="1">
      <alignment horizontal="center"/>
    </xf>
    <xf numFmtId="0" fontId="0" fillId="4" borderId="1" xfId="0" applyFill="1" applyBorder="1" applyAlignment="1">
      <alignment horizontal="center" vertical="center" wrapText="1"/>
    </xf>
    <xf numFmtId="0" fontId="0" fillId="4" borderId="0" xfId="0" applyFill="1" applyAlignment="1">
      <alignment horizontal="center" wrapText="1"/>
    </xf>
    <xf numFmtId="0" fontId="59" fillId="0" borderId="0" xfId="0" applyFont="1" applyAlignment="1">
      <alignment horizontal="center"/>
    </xf>
    <xf numFmtId="0" fontId="17" fillId="0" borderId="11" xfId="0" applyFont="1" applyBorder="1" applyAlignment="1">
      <alignment horizontal="center" vertical="center"/>
    </xf>
    <xf numFmtId="0" fontId="61" fillId="0" borderId="1" xfId="0" applyFont="1" applyBorder="1" applyAlignment="1">
      <alignment horizontal="center" vertical="center"/>
    </xf>
    <xf numFmtId="0" fontId="17" fillId="0" borderId="1" xfId="0" applyFont="1" applyBorder="1" applyAlignment="1">
      <alignment horizontal="center" vertical="center"/>
    </xf>
    <xf numFmtId="168" fontId="17" fillId="2" borderId="1" xfId="0" applyNumberFormat="1" applyFont="1" applyFill="1" applyBorder="1"/>
    <xf numFmtId="0" fontId="58" fillId="2" borderId="0" xfId="0" applyFont="1" applyFill="1"/>
    <xf numFmtId="168" fontId="43" fillId="2" borderId="0" xfId="0" applyNumberFormat="1" applyFont="1" applyFill="1" applyAlignment="1">
      <alignment horizontal="left"/>
    </xf>
    <xf numFmtId="168" fontId="43" fillId="2" borderId="0" xfId="0" applyNumberFormat="1" applyFont="1" applyFill="1"/>
    <xf numFmtId="0" fontId="43" fillId="2" borderId="0" xfId="0" applyFont="1" applyFill="1"/>
    <xf numFmtId="0" fontId="9" fillId="2" borderId="0" xfId="0" applyFont="1" applyFill="1" applyAlignment="1">
      <alignment horizontal="center" vertical="center"/>
    </xf>
    <xf numFmtId="0" fontId="9" fillId="0" borderId="0" xfId="0" applyFont="1" applyAlignment="1">
      <alignment horizontal="center" vertical="center"/>
    </xf>
    <xf numFmtId="0" fontId="9" fillId="2" borderId="12"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0" xfId="0" applyFont="1" applyFill="1" applyAlignment="1">
      <alignment horizontal="center" vertical="center" wrapText="1"/>
    </xf>
    <xf numFmtId="0" fontId="45" fillId="3" borderId="1"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168" fontId="17" fillId="2" borderId="12" xfId="0" applyNumberFormat="1" applyFont="1" applyFill="1" applyBorder="1" applyAlignment="1">
      <alignment horizontal="center" vertical="center"/>
    </xf>
    <xf numFmtId="176" fontId="9" fillId="2" borderId="0" xfId="0" applyNumberFormat="1" applyFont="1" applyFill="1" applyAlignment="1">
      <alignment horizontal="center" vertical="center"/>
    </xf>
    <xf numFmtId="168" fontId="9" fillId="2" borderId="0" xfId="0" applyNumberFormat="1" applyFont="1" applyFill="1" applyAlignment="1">
      <alignment horizontal="center" vertical="center"/>
    </xf>
    <xf numFmtId="16" fontId="9" fillId="2" borderId="0" xfId="0" applyNumberFormat="1" applyFont="1" applyFill="1" applyAlignment="1">
      <alignment horizontal="center" vertical="center"/>
    </xf>
    <xf numFmtId="0" fontId="9" fillId="2" borderId="1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69" fillId="2" borderId="0" xfId="0" applyFont="1" applyFill="1"/>
    <xf numFmtId="49" fontId="5" fillId="2" borderId="0" xfId="0" applyNumberFormat="1" applyFont="1" applyFill="1" applyAlignment="1">
      <alignment horizontal="center"/>
    </xf>
    <xf numFmtId="1" fontId="0" fillId="0" borderId="13" xfId="0" applyNumberFormat="1" applyBorder="1" applyAlignment="1">
      <alignment horizontal="center"/>
    </xf>
    <xf numFmtId="1" fontId="0" fillId="0" borderId="12" xfId="0" applyNumberFormat="1" applyBorder="1" applyAlignment="1">
      <alignment horizontal="center"/>
    </xf>
    <xf numFmtId="1" fontId="0" fillId="16" borderId="12" xfId="0" applyNumberFormat="1" applyFill="1" applyBorder="1" applyAlignment="1">
      <alignment horizontal="center"/>
    </xf>
    <xf numFmtId="0" fontId="0" fillId="16" borderId="12" xfId="0" applyFill="1" applyBorder="1" applyAlignment="1">
      <alignment horizontal="center"/>
    </xf>
    <xf numFmtId="0" fontId="0" fillId="16" borderId="11" xfId="0" applyFill="1" applyBorder="1" applyAlignment="1">
      <alignment horizontal="center"/>
    </xf>
    <xf numFmtId="0" fontId="9" fillId="0" borderId="2" xfId="0" applyFont="1" applyBorder="1" applyAlignment="1">
      <alignment horizontal="center" vertical="center"/>
    </xf>
    <xf numFmtId="0" fontId="9" fillId="0" borderId="13" xfId="0" applyFont="1" applyBorder="1" applyAlignment="1">
      <alignment horizontal="center" vertical="center"/>
    </xf>
    <xf numFmtId="0" fontId="9" fillId="0" borderId="4" xfId="0" applyFont="1" applyBorder="1" applyAlignment="1">
      <alignment horizontal="center" vertical="center"/>
    </xf>
    <xf numFmtId="0" fontId="9" fillId="2" borderId="4" xfId="0" applyFont="1" applyFill="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9" fillId="16" borderId="5" xfId="0" applyFont="1" applyFill="1" applyBorder="1" applyAlignment="1">
      <alignment horizontal="center" vertical="center"/>
    </xf>
    <xf numFmtId="0" fontId="9" fillId="16" borderId="0" xfId="0" applyFont="1" applyFill="1" applyAlignment="1">
      <alignment horizontal="center" vertical="center"/>
    </xf>
    <xf numFmtId="0" fontId="9" fillId="16" borderId="7" xfId="0" applyFont="1" applyFill="1" applyBorder="1" applyAlignment="1">
      <alignment horizontal="center" vertical="center"/>
    </xf>
    <xf numFmtId="0" fontId="0" fillId="16" borderId="0" xfId="0" applyFill="1" applyAlignment="1">
      <alignment horizontal="center" vertical="center"/>
    </xf>
    <xf numFmtId="0" fontId="0" fillId="16" borderId="5" xfId="0" applyFill="1" applyBorder="1" applyAlignment="1">
      <alignment horizontal="center" vertical="center"/>
    </xf>
    <xf numFmtId="0" fontId="0" fillId="16" borderId="7"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Alignment="1">
      <alignment horizontal="center" vertical="center"/>
    </xf>
    <xf numFmtId="0" fontId="9" fillId="16" borderId="15" xfId="0" applyFont="1" applyFill="1" applyBorder="1" applyAlignment="1">
      <alignment horizontal="center" vertical="center"/>
    </xf>
    <xf numFmtId="0" fontId="9" fillId="16" borderId="6" xfId="0" applyFont="1" applyFill="1" applyBorder="1" applyAlignment="1">
      <alignment horizontal="center" vertical="center"/>
    </xf>
    <xf numFmtId="0" fontId="9" fillId="16" borderId="10" xfId="0" applyFont="1" applyFill="1" applyBorder="1" applyAlignment="1">
      <alignment horizontal="center" vertical="center"/>
    </xf>
    <xf numFmtId="0" fontId="0" fillId="16" borderId="6" xfId="0" applyFill="1" applyBorder="1" applyAlignment="1">
      <alignment horizontal="center" vertical="center"/>
    </xf>
    <xf numFmtId="0" fontId="0" fillId="16" borderId="15" xfId="0" applyFill="1" applyBorder="1" applyAlignment="1">
      <alignment horizontal="center" vertical="center"/>
    </xf>
    <xf numFmtId="0" fontId="0" fillId="16" borderId="10" xfId="0" applyFill="1" applyBorder="1" applyAlignment="1">
      <alignment horizontal="center" vertical="center"/>
    </xf>
    <xf numFmtId="0" fontId="4" fillId="0" borderId="0" xfId="0" applyFont="1" applyAlignment="1">
      <alignment horizontal="center" vertical="center"/>
    </xf>
    <xf numFmtId="0" fontId="45" fillId="0" borderId="0" xfId="0" applyFont="1" applyAlignment="1">
      <alignment horizontal="center" vertical="center" wrapText="1"/>
    </xf>
    <xf numFmtId="0" fontId="51" fillId="0" borderId="0" xfId="0" applyFont="1" applyAlignment="1">
      <alignment horizontal="center" vertical="center" wrapText="1"/>
    </xf>
    <xf numFmtId="177" fontId="0" fillId="0" borderId="0" xfId="0" applyNumberFormat="1" applyAlignment="1">
      <alignment horizontal="center" vertical="center"/>
    </xf>
    <xf numFmtId="0" fontId="63" fillId="2" borderId="0" xfId="0" applyFont="1" applyFill="1" applyAlignment="1">
      <alignment horizontal="center" vertical="center" wrapText="1"/>
    </xf>
    <xf numFmtId="0" fontId="0" fillId="4" borderId="13" xfId="0" applyFill="1" applyBorder="1" applyAlignment="1">
      <alignment horizontal="center" vertical="center"/>
    </xf>
    <xf numFmtId="0" fontId="0" fillId="4" borderId="13" xfId="0" applyFill="1" applyBorder="1" applyAlignment="1">
      <alignment horizontal="center" vertical="center" wrapText="1"/>
    </xf>
    <xf numFmtId="0" fontId="0" fillId="4" borderId="13" xfId="0" applyFill="1" applyBorder="1" applyAlignment="1">
      <alignment horizontal="center" wrapText="1"/>
    </xf>
    <xf numFmtId="1" fontId="0" fillId="2" borderId="12" xfId="0" applyNumberFormat="1" applyFill="1" applyBorder="1" applyAlignment="1">
      <alignment horizontal="center"/>
    </xf>
    <xf numFmtId="0" fontId="0" fillId="2" borderId="12" xfId="0" applyFill="1" applyBorder="1" applyAlignment="1">
      <alignment horizontal="center"/>
    </xf>
    <xf numFmtId="168" fontId="0" fillId="2" borderId="12" xfId="0" applyNumberFormat="1" applyFill="1" applyBorder="1" applyAlignment="1">
      <alignment horizontal="center"/>
    </xf>
    <xf numFmtId="182" fontId="0" fillId="2" borderId="12" xfId="2" applyNumberFormat="1" applyFont="1" applyFill="1" applyBorder="1" applyAlignment="1">
      <alignment horizontal="center"/>
    </xf>
    <xf numFmtId="2" fontId="0" fillId="2" borderId="12" xfId="0" applyNumberFormat="1" applyFill="1" applyBorder="1" applyAlignment="1">
      <alignment horizontal="center"/>
    </xf>
    <xf numFmtId="0" fontId="0" fillId="18" borderId="12" xfId="0" applyFill="1" applyBorder="1" applyAlignment="1">
      <alignment horizontal="center"/>
    </xf>
    <xf numFmtId="168" fontId="0" fillId="18" borderId="12" xfId="0" applyNumberFormat="1" applyFill="1" applyBorder="1" applyAlignment="1">
      <alignment horizontal="center"/>
    </xf>
    <xf numFmtId="1" fontId="0" fillId="18" borderId="12" xfId="0" applyNumberFormat="1" applyFill="1" applyBorder="1" applyAlignment="1">
      <alignment horizontal="center"/>
    </xf>
    <xf numFmtId="182" fontId="0" fillId="18" borderId="12" xfId="2" applyNumberFormat="1" applyFont="1" applyFill="1" applyBorder="1" applyAlignment="1">
      <alignment horizontal="center"/>
    </xf>
    <xf numFmtId="2" fontId="0" fillId="18" borderId="12" xfId="0" applyNumberFormat="1" applyFill="1" applyBorder="1" applyAlignment="1">
      <alignment horizontal="center"/>
    </xf>
    <xf numFmtId="0" fontId="0" fillId="4" borderId="11" xfId="0" applyFill="1" applyBorder="1" applyAlignment="1">
      <alignment horizontal="center" vertical="center"/>
    </xf>
    <xf numFmtId="0" fontId="0" fillId="4" borderId="11" xfId="0" applyFill="1" applyBorder="1" applyAlignment="1">
      <alignment horizontal="center" vertical="center" wrapText="1"/>
    </xf>
    <xf numFmtId="0" fontId="0" fillId="4" borderId="11" xfId="0" applyFill="1" applyBorder="1" applyAlignment="1">
      <alignment horizontal="center" wrapText="1"/>
    </xf>
    <xf numFmtId="0" fontId="29" fillId="2" borderId="0" xfId="0" applyFont="1" applyFill="1" applyAlignment="1">
      <alignment vertical="center"/>
    </xf>
    <xf numFmtId="0" fontId="9" fillId="4" borderId="12" xfId="0" applyFont="1" applyFill="1" applyBorder="1" applyAlignment="1">
      <alignment horizontal="center" vertical="center"/>
    </xf>
    <xf numFmtId="168" fontId="17" fillId="4" borderId="12" xfId="0" applyNumberFormat="1" applyFont="1" applyFill="1" applyBorder="1" applyAlignment="1">
      <alignment horizontal="center" vertical="center"/>
    </xf>
    <xf numFmtId="0" fontId="9" fillId="4" borderId="11" xfId="0" applyFont="1" applyFill="1" applyBorder="1" applyAlignment="1">
      <alignment horizontal="center" vertical="center"/>
    </xf>
    <xf numFmtId="168" fontId="17" fillId="4" borderId="11" xfId="0" applyNumberFormat="1" applyFont="1" applyFill="1" applyBorder="1" applyAlignment="1">
      <alignment horizontal="center" vertical="center"/>
    </xf>
    <xf numFmtId="1" fontId="9" fillId="2" borderId="12" xfId="0" applyNumberFormat="1" applyFont="1" applyFill="1" applyBorder="1" applyAlignment="1">
      <alignment horizontal="center" vertical="center"/>
    </xf>
    <xf numFmtId="1" fontId="9" fillId="4" borderId="12" xfId="0" applyNumberFormat="1" applyFont="1" applyFill="1" applyBorder="1" applyAlignment="1">
      <alignment horizontal="center" vertical="center"/>
    </xf>
    <xf numFmtId="1" fontId="9" fillId="4" borderId="11" xfId="0" applyNumberFormat="1" applyFont="1" applyFill="1" applyBorder="1" applyAlignment="1">
      <alignment horizontal="center" vertical="center"/>
    </xf>
    <xf numFmtId="0" fontId="0" fillId="18" borderId="11" xfId="0" applyFill="1" applyBorder="1" applyAlignment="1">
      <alignment horizontal="center"/>
    </xf>
    <xf numFmtId="168" fontId="0" fillId="18" borderId="11" xfId="0" applyNumberFormat="1" applyFill="1" applyBorder="1" applyAlignment="1">
      <alignment horizontal="center"/>
    </xf>
    <xf numFmtId="1" fontId="0" fillId="18" borderId="11" xfId="0" applyNumberFormat="1" applyFill="1" applyBorder="1" applyAlignment="1">
      <alignment horizontal="center"/>
    </xf>
    <xf numFmtId="182" fontId="0" fillId="18" borderId="11" xfId="2" applyNumberFormat="1" applyFont="1" applyFill="1" applyBorder="1" applyAlignment="1">
      <alignment horizontal="center"/>
    </xf>
    <xf numFmtId="168" fontId="9" fillId="2" borderId="0" xfId="0" quotePrefix="1" applyNumberFormat="1" applyFont="1" applyFill="1" applyAlignment="1">
      <alignment horizontal="center"/>
    </xf>
    <xf numFmtId="167" fontId="17" fillId="0" borderId="1" xfId="0" applyNumberFormat="1" applyFont="1" applyBorder="1" applyAlignment="1">
      <alignment horizontal="center"/>
    </xf>
    <xf numFmtId="0" fontId="17" fillId="0" borderId="1" xfId="0" applyFont="1" applyBorder="1" applyAlignment="1">
      <alignment horizontal="center"/>
    </xf>
    <xf numFmtId="185" fontId="17" fillId="0" borderId="1" xfId="0" applyNumberFormat="1" applyFont="1" applyBorder="1" applyAlignment="1">
      <alignment horizontal="center"/>
    </xf>
    <xf numFmtId="168" fontId="17" fillId="0" borderId="39" xfId="0" applyNumberFormat="1" applyFont="1" applyBorder="1" applyAlignment="1">
      <alignment horizontal="center"/>
    </xf>
    <xf numFmtId="0" fontId="5" fillId="2" borderId="1" xfId="0" applyFont="1" applyFill="1" applyBorder="1" applyAlignment="1">
      <alignment horizontal="center" vertical="center"/>
    </xf>
    <xf numFmtId="0" fontId="55" fillId="2" borderId="0" xfId="0" applyFont="1" applyFill="1" applyAlignment="1">
      <alignment vertical="center"/>
    </xf>
    <xf numFmtId="0" fontId="37" fillId="2" borderId="0" xfId="0" applyFont="1" applyFill="1" applyAlignment="1">
      <alignment vertical="center"/>
    </xf>
    <xf numFmtId="0" fontId="5" fillId="2" borderId="0" xfId="0" applyFont="1" applyFill="1" applyAlignment="1">
      <alignment vertical="center" wrapText="1"/>
    </xf>
    <xf numFmtId="0" fontId="49" fillId="0" borderId="1" xfId="0" applyFont="1" applyBorder="1" applyAlignment="1">
      <alignment horizontal="center" vertical="center"/>
    </xf>
    <xf numFmtId="172" fontId="17" fillId="0" borderId="1" xfId="0" applyNumberFormat="1" applyFont="1" applyBorder="1" applyAlignment="1">
      <alignment horizontal="center" vertical="center"/>
    </xf>
    <xf numFmtId="168" fontId="17" fillId="0" borderId="1" xfId="0" applyNumberFormat="1" applyFont="1" applyBorder="1" applyAlignment="1">
      <alignment horizontal="center" vertical="center"/>
    </xf>
    <xf numFmtId="168" fontId="17" fillId="0" borderId="39" xfId="0" applyNumberFormat="1" applyFont="1" applyBorder="1" applyAlignment="1">
      <alignment horizontal="center" vertical="center"/>
    </xf>
    <xf numFmtId="0" fontId="46" fillId="5" borderId="2" xfId="0" applyFont="1" applyFill="1" applyBorder="1" applyAlignment="1">
      <alignment horizontal="left" vertical="top"/>
    </xf>
    <xf numFmtId="0" fontId="13" fillId="2" borderId="1" xfId="0" applyFont="1" applyFill="1" applyBorder="1" applyAlignment="1" applyProtection="1">
      <alignment horizontal="center"/>
      <protection locked="0"/>
    </xf>
    <xf numFmtId="0" fontId="47" fillId="2" borderId="0" xfId="0" applyFont="1" applyFill="1" applyAlignment="1">
      <alignment horizontal="center" vertical="top"/>
    </xf>
    <xf numFmtId="0" fontId="72" fillId="2" borderId="0" xfId="0" applyFont="1" applyFill="1"/>
    <xf numFmtId="0" fontId="73" fillId="2" borderId="0" xfId="0" applyFont="1" applyFill="1"/>
    <xf numFmtId="0" fontId="43" fillId="2" borderId="0" xfId="0" applyFont="1" applyFill="1" applyAlignment="1">
      <alignment horizontal="center"/>
    </xf>
    <xf numFmtId="0" fontId="10" fillId="2" borderId="0" xfId="0" applyFont="1" applyFill="1" applyAlignment="1">
      <alignment vertical="center" wrapText="1"/>
    </xf>
    <xf numFmtId="0" fontId="70" fillId="2" borderId="0" xfId="0" applyFont="1" applyFill="1" applyAlignment="1">
      <alignment vertical="center" wrapText="1"/>
    </xf>
    <xf numFmtId="168" fontId="5" fillId="2" borderId="0" xfId="0" applyNumberFormat="1" applyFont="1" applyFill="1" applyAlignment="1" applyProtection="1">
      <alignment horizontal="center"/>
      <protection locked="0"/>
    </xf>
    <xf numFmtId="0" fontId="43" fillId="2" borderId="0" xfId="0" applyFont="1" applyFill="1" applyAlignment="1">
      <alignment horizontal="left" vertical="top" wrapText="1"/>
    </xf>
    <xf numFmtId="0" fontId="12" fillId="4" borderId="2" xfId="0" applyFont="1" applyFill="1" applyBorder="1" applyAlignment="1">
      <alignment horizontal="center"/>
    </xf>
    <xf numFmtId="0" fontId="12" fillId="4" borderId="4" xfId="0" applyFont="1" applyFill="1" applyBorder="1" applyAlignment="1">
      <alignment horizontal="center"/>
    </xf>
    <xf numFmtId="0" fontId="12" fillId="4" borderId="3" xfId="0" applyFont="1" applyFill="1" applyBorder="1" applyAlignment="1">
      <alignment horizontal="center"/>
    </xf>
    <xf numFmtId="0" fontId="42" fillId="2" borderId="2" xfId="0" applyFont="1" applyFill="1" applyBorder="1" applyAlignment="1">
      <alignment horizontal="center" vertical="center" wrapText="1"/>
    </xf>
    <xf numFmtId="0" fontId="42" fillId="2" borderId="4" xfId="0" applyFont="1" applyFill="1" applyBorder="1" applyAlignment="1">
      <alignment horizontal="center" vertical="center"/>
    </xf>
    <xf numFmtId="0" fontId="42" fillId="2" borderId="3" xfId="0" applyFont="1" applyFill="1" applyBorder="1" applyAlignment="1">
      <alignment horizontal="center" vertical="center"/>
    </xf>
    <xf numFmtId="0" fontId="12" fillId="0" borderId="2" xfId="0" applyFont="1" applyBorder="1" applyAlignment="1">
      <alignment horizontal="center"/>
    </xf>
    <xf numFmtId="0" fontId="12" fillId="0" borderId="4" xfId="0" applyFont="1" applyBorder="1" applyAlignment="1">
      <alignment horizontal="center"/>
    </xf>
    <xf numFmtId="0" fontId="12" fillId="0" borderId="3" xfId="0" applyFont="1" applyBorder="1" applyAlignment="1">
      <alignment horizontal="center"/>
    </xf>
    <xf numFmtId="0" fontId="52" fillId="0" borderId="2" xfId="0" applyFont="1" applyBorder="1" applyAlignment="1">
      <alignment horizontal="center" vertical="center"/>
    </xf>
    <xf numFmtId="0" fontId="52" fillId="0" borderId="4" xfId="0" applyFont="1" applyBorder="1" applyAlignment="1">
      <alignment horizontal="center" vertical="center"/>
    </xf>
    <xf numFmtId="0" fontId="43" fillId="2" borderId="2" xfId="0" applyFont="1" applyFill="1" applyBorder="1" applyAlignment="1">
      <alignment horizontal="center" vertical="center"/>
    </xf>
    <xf numFmtId="0" fontId="43" fillId="2" borderId="3" xfId="0" applyFont="1" applyFill="1" applyBorder="1" applyAlignment="1">
      <alignment horizontal="center" vertical="center"/>
    </xf>
    <xf numFmtId="0" fontId="43" fillId="2" borderId="15" xfId="0" applyFont="1" applyFill="1" applyBorder="1" applyAlignment="1">
      <alignment horizontal="center" vertical="center"/>
    </xf>
    <xf numFmtId="0" fontId="43" fillId="2" borderId="10" xfId="0" applyFont="1" applyFill="1" applyBorder="1" applyAlignment="1">
      <alignment horizontal="center" vertical="center"/>
    </xf>
    <xf numFmtId="0" fontId="42" fillId="2" borderId="0" xfId="0" applyFont="1" applyFill="1" applyAlignment="1">
      <alignment horizontal="left" wrapText="1"/>
    </xf>
    <xf numFmtId="0" fontId="42" fillId="2" borderId="0" xfId="0" applyFont="1" applyFill="1" applyAlignment="1">
      <alignment horizontal="left" vertical="top" wrapText="1"/>
    </xf>
    <xf numFmtId="0" fontId="43" fillId="2" borderId="0" xfId="0" applyFont="1" applyFill="1" applyAlignment="1">
      <alignment horizontal="left"/>
    </xf>
    <xf numFmtId="0" fontId="42" fillId="2" borderId="2" xfId="0" applyFont="1" applyFill="1" applyBorder="1" applyAlignment="1">
      <alignment horizontal="center" vertical="center"/>
    </xf>
    <xf numFmtId="0" fontId="43" fillId="2" borderId="4" xfId="0" applyFont="1" applyFill="1" applyBorder="1" applyAlignment="1">
      <alignment horizontal="center" vertical="center"/>
    </xf>
    <xf numFmtId="0" fontId="43" fillId="2" borderId="2" xfId="0" applyFont="1" applyFill="1" applyBorder="1" applyAlignment="1">
      <alignment horizontal="center" vertical="center" wrapText="1"/>
    </xf>
    <xf numFmtId="0" fontId="56" fillId="4" borderId="1" xfId="0" applyFont="1" applyFill="1" applyBorder="1" applyAlignment="1">
      <alignment horizontal="center" vertical="center"/>
    </xf>
    <xf numFmtId="0" fontId="16" fillId="2" borderId="0" xfId="0" applyFont="1" applyFill="1" applyAlignment="1">
      <alignment horizontal="center"/>
    </xf>
    <xf numFmtId="0" fontId="43" fillId="2" borderId="1" xfId="0" applyFont="1" applyFill="1" applyBorder="1" applyAlignment="1">
      <alignment horizontal="center" vertical="center"/>
    </xf>
    <xf numFmtId="0" fontId="50" fillId="14" borderId="2" xfId="0" applyFont="1" applyFill="1" applyBorder="1" applyAlignment="1" applyProtection="1">
      <alignment horizontal="center"/>
      <protection locked="0"/>
    </xf>
    <xf numFmtId="0" fontId="50" fillId="14" borderId="3" xfId="0" applyFont="1" applyFill="1" applyBorder="1" applyAlignment="1" applyProtection="1">
      <alignment horizontal="center"/>
      <protection locked="0"/>
    </xf>
    <xf numFmtId="0" fontId="5" fillId="6" borderId="2" xfId="0" applyFont="1" applyFill="1" applyBorder="1" applyAlignment="1" applyProtection="1">
      <alignment horizontal="left"/>
      <protection locked="0"/>
    </xf>
    <xf numFmtId="0" fontId="5" fillId="6" borderId="3" xfId="0" applyFont="1" applyFill="1" applyBorder="1" applyAlignment="1" applyProtection="1">
      <alignment horizontal="left"/>
      <protection locked="0"/>
    </xf>
    <xf numFmtId="0" fontId="21" fillId="6" borderId="2" xfId="1" applyFill="1" applyBorder="1" applyAlignment="1" applyProtection="1">
      <alignment horizontal="left" wrapText="1"/>
      <protection locked="0"/>
    </xf>
    <xf numFmtId="0" fontId="21" fillId="6" borderId="3" xfId="1" applyFill="1" applyBorder="1" applyAlignment="1" applyProtection="1">
      <alignment horizontal="left"/>
      <protection locked="0"/>
    </xf>
    <xf numFmtId="0" fontId="5" fillId="2" borderId="2" xfId="0" applyFont="1" applyFill="1" applyBorder="1"/>
    <xf numFmtId="0" fontId="5" fillId="2" borderId="3" xfId="0" applyFont="1" applyFill="1" applyBorder="1"/>
    <xf numFmtId="0" fontId="5" fillId="2" borderId="2" xfId="0" applyFont="1" applyFill="1" applyBorder="1" applyAlignment="1">
      <alignment horizontal="center"/>
    </xf>
    <xf numFmtId="0" fontId="5" fillId="2" borderId="3" xfId="0" applyFont="1" applyFill="1" applyBorder="1" applyAlignment="1">
      <alignment horizontal="center"/>
    </xf>
    <xf numFmtId="49" fontId="7" fillId="0" borderId="0" xfId="0" applyNumberFormat="1" applyFont="1" applyAlignment="1" applyProtection="1">
      <alignment horizontal="center"/>
      <protection locked="0"/>
    </xf>
    <xf numFmtId="0" fontId="5" fillId="0" borderId="0" xfId="0" applyFont="1" applyProtection="1">
      <protection locked="0"/>
    </xf>
    <xf numFmtId="0" fontId="5" fillId="6" borderId="2" xfId="0" applyFont="1" applyFill="1" applyBorder="1" applyAlignment="1" applyProtection="1">
      <alignment horizontal="left" wrapText="1"/>
      <protection locked="0"/>
    </xf>
    <xf numFmtId="0" fontId="5" fillId="6" borderId="3" xfId="0" applyFont="1" applyFill="1" applyBorder="1" applyAlignment="1" applyProtection="1">
      <alignment horizontal="left" wrapText="1"/>
      <protection locked="0"/>
    </xf>
    <xf numFmtId="0" fontId="5" fillId="2" borderId="0" xfId="0" applyFont="1" applyFill="1"/>
    <xf numFmtId="0" fontId="13" fillId="2" borderId="2" xfId="0" applyFont="1" applyFill="1" applyBorder="1" applyAlignment="1">
      <alignment horizontal="center"/>
    </xf>
    <xf numFmtId="0" fontId="13" fillId="2" borderId="3" xfId="0" applyFont="1" applyFill="1" applyBorder="1" applyAlignment="1">
      <alignment horizontal="center"/>
    </xf>
    <xf numFmtId="0" fontId="10" fillId="2" borderId="0" xfId="0" applyFont="1" applyFill="1" applyAlignment="1">
      <alignment horizontal="center" vertical="center" wrapText="1"/>
    </xf>
    <xf numFmtId="179" fontId="5" fillId="0" borderId="2" xfId="0" applyNumberFormat="1" applyFont="1" applyBorder="1" applyAlignment="1">
      <alignment horizontal="center" vertical="center"/>
    </xf>
    <xf numFmtId="179" fontId="5" fillId="0" borderId="3"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2" borderId="0" xfId="0" applyFont="1" applyFill="1" applyAlignment="1">
      <alignment horizontal="center" vertical="center" wrapText="1"/>
    </xf>
    <xf numFmtId="0" fontId="6" fillId="15"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vertical="center"/>
    </xf>
    <xf numFmtId="0" fontId="5" fillId="2" borderId="3" xfId="0" applyFont="1" applyFill="1" applyBorder="1" applyAlignment="1">
      <alignment vertical="center"/>
    </xf>
    <xf numFmtId="2" fontId="74" fillId="2" borderId="0" xfId="0" applyNumberFormat="1" applyFont="1" applyFill="1" applyAlignment="1">
      <alignment horizontal="center" vertical="center" wrapText="1"/>
    </xf>
    <xf numFmtId="0" fontId="37" fillId="2" borderId="0" xfId="0" applyFont="1" applyFill="1" applyAlignment="1">
      <alignment horizontal="center" vertical="center"/>
    </xf>
    <xf numFmtId="0" fontId="5" fillId="6" borderId="2" xfId="0" applyFont="1" applyFill="1" applyBorder="1" applyAlignment="1" applyProtection="1">
      <alignment horizontal="center"/>
      <protection locked="0"/>
    </xf>
    <xf numFmtId="0" fontId="5" fillId="6" borderId="3" xfId="0" applyFont="1" applyFill="1" applyBorder="1" applyAlignment="1" applyProtection="1">
      <alignment horizontal="center"/>
      <protection locked="0"/>
    </xf>
    <xf numFmtId="0" fontId="52" fillId="7" borderId="4" xfId="0" applyFont="1" applyFill="1" applyBorder="1" applyAlignment="1">
      <alignment horizontal="center"/>
    </xf>
    <xf numFmtId="0" fontId="52" fillId="7" borderId="3" xfId="0" applyFont="1" applyFill="1" applyBorder="1" applyAlignment="1">
      <alignment horizontal="center"/>
    </xf>
    <xf numFmtId="0" fontId="5" fillId="2" borderId="2" xfId="0" applyFont="1" applyFill="1" applyBorder="1" applyAlignment="1">
      <alignment horizontal="left"/>
    </xf>
    <xf numFmtId="0" fontId="5" fillId="2" borderId="3" xfId="0" applyFont="1" applyFill="1" applyBorder="1" applyAlignment="1">
      <alignment horizontal="left"/>
    </xf>
    <xf numFmtId="0" fontId="20" fillId="2" borderId="2" xfId="0" applyFont="1" applyFill="1" applyBorder="1" applyAlignment="1">
      <alignment horizontal="left" vertical="top"/>
    </xf>
    <xf numFmtId="0" fontId="20" fillId="2" borderId="4" xfId="0" applyFont="1" applyFill="1" applyBorder="1" applyAlignment="1">
      <alignment horizontal="left" vertical="top"/>
    </xf>
    <xf numFmtId="0" fontId="20" fillId="2" borderId="3" xfId="0" applyFont="1" applyFill="1" applyBorder="1" applyAlignment="1">
      <alignment horizontal="left" vertical="top"/>
    </xf>
    <xf numFmtId="0" fontId="11" fillId="5" borderId="0" xfId="0" applyFont="1" applyFill="1" applyAlignment="1">
      <alignment horizontal="center" vertical="center" wrapText="1"/>
    </xf>
    <xf numFmtId="0" fontId="67" fillId="2" borderId="0" xfId="0" applyFont="1" applyFill="1" applyAlignment="1">
      <alignment horizontal="center" vertical="center" wrapText="1"/>
    </xf>
    <xf numFmtId="0" fontId="15" fillId="2" borderId="0" xfId="0" applyFont="1" applyFill="1" applyAlignment="1">
      <alignment horizontal="center" vertical="center"/>
    </xf>
    <xf numFmtId="0" fontId="11" fillId="2" borderId="0" xfId="0" applyFont="1" applyFill="1" applyAlignment="1">
      <alignment horizontal="center" vertical="center" wrapText="1"/>
    </xf>
    <xf numFmtId="0" fontId="20" fillId="5" borderId="2" xfId="0" applyFont="1" applyFill="1" applyBorder="1" applyAlignment="1">
      <alignment horizontal="left" vertical="center" wrapText="1"/>
    </xf>
    <xf numFmtId="0" fontId="20" fillId="5" borderId="4"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5" borderId="15" xfId="0" applyFont="1" applyFill="1" applyBorder="1" applyAlignment="1">
      <alignment horizontal="left" vertical="center" wrapText="1"/>
    </xf>
    <xf numFmtId="0" fontId="20" fillId="5" borderId="6" xfId="0" applyFont="1" applyFill="1" applyBorder="1" applyAlignment="1">
      <alignment horizontal="left" vertical="center" wrapText="1"/>
    </xf>
    <xf numFmtId="0" fontId="20" fillId="5" borderId="10" xfId="0" applyFont="1" applyFill="1" applyBorder="1" applyAlignment="1">
      <alignment horizontal="left" vertical="center" wrapText="1"/>
    </xf>
    <xf numFmtId="0" fontId="65" fillId="0" borderId="1" xfId="0" applyFont="1" applyBorder="1" applyAlignment="1">
      <alignment horizontal="center" vertical="center"/>
    </xf>
    <xf numFmtId="0" fontId="20" fillId="5" borderId="2" xfId="0" applyFont="1" applyFill="1" applyBorder="1" applyAlignment="1">
      <alignment horizontal="left" vertical="center"/>
    </xf>
    <xf numFmtId="0" fontId="20" fillId="5" borderId="4" xfId="0" applyFont="1" applyFill="1" applyBorder="1" applyAlignment="1">
      <alignment horizontal="left" vertical="center"/>
    </xf>
    <xf numFmtId="0" fontId="20" fillId="5" borderId="3" xfId="0" applyFont="1" applyFill="1" applyBorder="1" applyAlignment="1">
      <alignment horizontal="left" vertical="center"/>
    </xf>
    <xf numFmtId="0" fontId="65" fillId="0" borderId="41" xfId="0" applyFont="1" applyBorder="1" applyAlignment="1">
      <alignment horizontal="center" vertical="center"/>
    </xf>
    <xf numFmtId="0" fontId="65" fillId="0" borderId="42" xfId="0" applyFont="1" applyBorder="1" applyAlignment="1">
      <alignment horizontal="center" vertical="center"/>
    </xf>
    <xf numFmtId="0" fontId="65" fillId="0" borderId="43" xfId="0" applyFont="1" applyBorder="1" applyAlignment="1">
      <alignment horizontal="center" vertical="center"/>
    </xf>
    <xf numFmtId="0" fontId="66" fillId="2" borderId="0" xfId="0" applyFont="1" applyFill="1" applyAlignment="1">
      <alignment horizontal="center" vertical="center" wrapText="1"/>
    </xf>
    <xf numFmtId="0" fontId="66" fillId="2" borderId="6"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8" xfId="0" applyFont="1" applyFill="1" applyBorder="1" applyAlignment="1">
      <alignment horizontal="center" vertical="center"/>
    </xf>
    <xf numFmtId="0" fontId="65" fillId="0" borderId="1" xfId="0" applyFont="1" applyBorder="1" applyAlignment="1">
      <alignment horizontal="center" vertical="top"/>
    </xf>
    <xf numFmtId="0" fontId="58" fillId="2" borderId="0" xfId="0" applyFont="1" applyFill="1" applyAlignment="1">
      <alignment horizontal="center"/>
    </xf>
    <xf numFmtId="0" fontId="9" fillId="2" borderId="9" xfId="0" applyFont="1" applyFill="1" applyBorder="1" applyAlignment="1">
      <alignment horizontal="center" vertical="center"/>
    </xf>
    <xf numFmtId="168" fontId="9" fillId="2" borderId="9" xfId="0" applyNumberFormat="1" applyFont="1" applyFill="1" applyBorder="1" applyAlignment="1">
      <alignment horizontal="center"/>
    </xf>
    <xf numFmtId="0" fontId="49" fillId="0" borderId="1" xfId="0" applyFont="1" applyBorder="1" applyAlignment="1">
      <alignment horizontal="center"/>
    </xf>
    <xf numFmtId="0" fontId="20" fillId="5" borderId="36" xfId="0" applyFont="1" applyFill="1" applyBorder="1" applyAlignment="1">
      <alignment horizontal="left" vertical="center" wrapText="1"/>
    </xf>
    <xf numFmtId="0" fontId="20" fillId="5" borderId="37" xfId="0" applyFont="1" applyFill="1" applyBorder="1" applyAlignment="1">
      <alignment horizontal="left" vertical="center" wrapText="1"/>
    </xf>
    <xf numFmtId="0" fontId="20" fillId="5" borderId="38" xfId="0" applyFont="1" applyFill="1" applyBorder="1" applyAlignment="1">
      <alignment horizontal="left" vertical="center" wrapText="1"/>
    </xf>
    <xf numFmtId="0" fontId="70" fillId="2" borderId="0" xfId="0" applyFont="1" applyFill="1" applyAlignment="1">
      <alignment horizontal="center" vertical="center" wrapText="1"/>
    </xf>
    <xf numFmtId="0" fontId="65" fillId="0" borderId="39" xfId="0" applyFont="1" applyBorder="1" applyAlignment="1">
      <alignment horizontal="center" vertical="center"/>
    </xf>
    <xf numFmtId="0" fontId="68" fillId="3" borderId="1" xfId="0" applyFont="1" applyFill="1" applyBorder="1" applyAlignment="1">
      <alignment horizontal="center" vertical="center"/>
    </xf>
    <xf numFmtId="0" fontId="49" fillId="0" borderId="1" xfId="0" applyFont="1" applyBorder="1" applyAlignment="1">
      <alignment horizontal="center" vertical="center"/>
    </xf>
    <xf numFmtId="0" fontId="17" fillId="2" borderId="15" xfId="0" applyFont="1" applyFill="1" applyBorder="1" applyAlignment="1">
      <alignment horizontal="left" vertical="center"/>
    </xf>
    <xf numFmtId="0" fontId="17" fillId="2" borderId="6" xfId="0" applyFont="1" applyFill="1" applyBorder="1" applyAlignment="1">
      <alignment horizontal="left" vertical="center"/>
    </xf>
    <xf numFmtId="0" fontId="17" fillId="2" borderId="10" xfId="0" applyFont="1" applyFill="1" applyBorder="1" applyAlignment="1">
      <alignment horizontal="left" vertical="center"/>
    </xf>
    <xf numFmtId="0" fontId="71" fillId="2" borderId="0" xfId="0" applyFont="1" applyFill="1" applyAlignment="1">
      <alignment horizontal="center"/>
    </xf>
    <xf numFmtId="0" fontId="71" fillId="0" borderId="0" xfId="0" applyFont="1" applyAlignment="1">
      <alignment horizontal="center" vertical="center" wrapText="1"/>
    </xf>
    <xf numFmtId="0" fontId="9" fillId="2" borderId="0" xfId="0" applyFont="1" applyFill="1" applyAlignment="1">
      <alignment horizontal="center"/>
    </xf>
    <xf numFmtId="0" fontId="9" fillId="2" borderId="0" xfId="0" applyFont="1" applyFill="1" applyAlignment="1">
      <alignment horizontal="center" vertical="center"/>
    </xf>
    <xf numFmtId="0" fontId="11" fillId="5" borderId="9" xfId="0" applyFont="1" applyFill="1" applyBorder="1" applyAlignment="1">
      <alignment horizontal="center" vertical="center" wrapText="1"/>
    </xf>
    <xf numFmtId="0" fontId="7" fillId="2" borderId="0" xfId="0" applyFont="1" applyFill="1" applyAlignment="1">
      <alignment horizontal="center"/>
    </xf>
    <xf numFmtId="0" fontId="47" fillId="2" borderId="0" xfId="0" applyFont="1" applyFill="1" applyAlignment="1">
      <alignment horizontal="center" vertical="top"/>
    </xf>
    <xf numFmtId="0" fontId="46" fillId="2" borderId="0" xfId="0" applyFont="1" applyFill="1" applyAlignment="1">
      <alignment horizontal="center" vertical="center"/>
    </xf>
    <xf numFmtId="0" fontId="46" fillId="2" borderId="0" xfId="0" applyFont="1" applyFill="1" applyAlignment="1">
      <alignment horizontal="center" vertical="center" wrapText="1"/>
    </xf>
    <xf numFmtId="0" fontId="48" fillId="2" borderId="0" xfId="0" applyFont="1" applyFill="1" applyAlignment="1">
      <alignment horizontal="center"/>
    </xf>
    <xf numFmtId="0" fontId="9" fillId="2" borderId="9" xfId="0" applyFont="1" applyFill="1" applyBorder="1" applyAlignment="1">
      <alignment horizontal="center"/>
    </xf>
    <xf numFmtId="0" fontId="5" fillId="2" borderId="0" xfId="0" applyFont="1" applyFill="1" applyAlignment="1">
      <alignment horizontal="left"/>
    </xf>
    <xf numFmtId="0" fontId="15" fillId="2" borderId="0" xfId="0" applyFont="1" applyFill="1" applyAlignment="1">
      <alignment horizontal="center"/>
    </xf>
    <xf numFmtId="0" fontId="5" fillId="2" borderId="0" xfId="0" applyFont="1" applyFill="1" applyAlignment="1">
      <alignment horizontal="center"/>
    </xf>
    <xf numFmtId="0" fontId="18" fillId="3" borderId="3" xfId="0" applyFont="1" applyFill="1" applyBorder="1" applyAlignment="1">
      <alignment horizontal="center" vertical="center"/>
    </xf>
    <xf numFmtId="0" fontId="49" fillId="0" borderId="14" xfId="0" applyFont="1" applyBorder="1" applyAlignment="1">
      <alignment horizontal="center" vertical="center"/>
    </xf>
    <xf numFmtId="0" fontId="49" fillId="0" borderId="9" xfId="0" applyFont="1" applyBorder="1" applyAlignment="1">
      <alignment horizontal="center" vertical="center"/>
    </xf>
    <xf numFmtId="0" fontId="49" fillId="0" borderId="8" xfId="0" applyFont="1" applyBorder="1" applyAlignment="1">
      <alignment horizontal="center" vertical="center"/>
    </xf>
    <xf numFmtId="0" fontId="49" fillId="0" borderId="14" xfId="0" applyFont="1" applyBorder="1" applyAlignment="1">
      <alignment horizontal="center"/>
    </xf>
    <xf numFmtId="0" fontId="49" fillId="0" borderId="9" xfId="0" applyFont="1" applyBorder="1" applyAlignment="1">
      <alignment horizontal="center"/>
    </xf>
    <xf numFmtId="0" fontId="49" fillId="0" borderId="8" xfId="0" applyFont="1" applyBorder="1" applyAlignment="1">
      <alignment horizontal="center"/>
    </xf>
    <xf numFmtId="0" fontId="63" fillId="2" borderId="0" xfId="0" applyFont="1" applyFill="1" applyAlignment="1">
      <alignment horizontal="center" vertical="center" wrapText="1"/>
    </xf>
    <xf numFmtId="0" fontId="9" fillId="0" borderId="0" xfId="0" applyFont="1" applyAlignment="1">
      <alignment horizontal="center"/>
    </xf>
    <xf numFmtId="0" fontId="65" fillId="0" borderId="39" xfId="0" applyFont="1" applyBorder="1" applyAlignment="1">
      <alignment horizontal="center" vertical="top"/>
    </xf>
    <xf numFmtId="0" fontId="18" fillId="3" borderId="1" xfId="0" applyFont="1" applyFill="1" applyBorder="1" applyAlignment="1">
      <alignment horizontal="center" vertical="center"/>
    </xf>
    <xf numFmtId="0" fontId="46" fillId="5" borderId="15" xfId="0" applyFont="1" applyFill="1" applyBorder="1" applyAlignment="1">
      <alignment horizontal="left" vertical="top"/>
    </xf>
    <xf numFmtId="0" fontId="46" fillId="5" borderId="6" xfId="0" applyFont="1" applyFill="1" applyBorder="1" applyAlignment="1">
      <alignment horizontal="left" vertical="top"/>
    </xf>
    <xf numFmtId="0" fontId="46" fillId="5" borderId="10" xfId="0" applyFont="1" applyFill="1" applyBorder="1" applyAlignment="1">
      <alignment horizontal="left" vertical="top"/>
    </xf>
    <xf numFmtId="0" fontId="7" fillId="0" borderId="14" xfId="0" applyFont="1" applyBorder="1" applyAlignment="1">
      <alignment horizontal="center"/>
    </xf>
    <xf numFmtId="0" fontId="7" fillId="0" borderId="9" xfId="0" applyFont="1" applyBorder="1" applyAlignment="1">
      <alignment horizontal="center"/>
    </xf>
    <xf numFmtId="0" fontId="7" fillId="0" borderId="8" xfId="0" applyFont="1" applyBorder="1" applyAlignment="1">
      <alignment horizontal="center"/>
    </xf>
    <xf numFmtId="0" fontId="47" fillId="0" borderId="41" xfId="0" applyFont="1" applyBorder="1" applyAlignment="1">
      <alignment horizontal="center" vertical="top"/>
    </xf>
    <xf numFmtId="0" fontId="47" fillId="0" borderId="42" xfId="0" applyFont="1" applyBorder="1" applyAlignment="1">
      <alignment horizontal="center" vertical="top"/>
    </xf>
    <xf numFmtId="0" fontId="47" fillId="0" borderId="43" xfId="0" applyFont="1" applyBorder="1" applyAlignment="1">
      <alignment horizontal="center" vertical="top"/>
    </xf>
    <xf numFmtId="0" fontId="46" fillId="5" borderId="2" xfId="0" applyFont="1" applyFill="1" applyBorder="1" applyAlignment="1">
      <alignment horizontal="left" vertical="top"/>
    </xf>
    <xf numFmtId="0" fontId="46" fillId="5" borderId="4" xfId="0" applyFont="1" applyFill="1" applyBorder="1" applyAlignment="1">
      <alignment horizontal="left" vertical="top"/>
    </xf>
    <xf numFmtId="0" fontId="46" fillId="5" borderId="3" xfId="0" applyFont="1" applyFill="1" applyBorder="1" applyAlignment="1">
      <alignment horizontal="left" vertical="top"/>
    </xf>
    <xf numFmtId="0" fontId="47" fillId="0" borderId="5" xfId="0" applyFont="1" applyBorder="1" applyAlignment="1">
      <alignment horizontal="center" vertical="top"/>
    </xf>
    <xf numFmtId="0" fontId="47" fillId="0" borderId="0" xfId="0" applyFont="1" applyAlignment="1">
      <alignment horizontal="center" vertical="top"/>
    </xf>
    <xf numFmtId="0" fontId="47" fillId="0" borderId="7" xfId="0" applyFont="1" applyBorder="1" applyAlignment="1">
      <alignment horizontal="center" vertical="top"/>
    </xf>
    <xf numFmtId="0" fontId="9" fillId="2" borderId="0" xfId="0" applyFont="1" applyFill="1" applyAlignment="1">
      <alignment horizontal="center" wrapText="1"/>
    </xf>
    <xf numFmtId="0" fontId="14" fillId="2" borderId="0" xfId="0" applyFont="1" applyFill="1" applyAlignment="1">
      <alignment horizontal="center" vertical="center" wrapText="1"/>
    </xf>
    <xf numFmtId="0" fontId="41" fillId="2" borderId="14" xfId="0" applyFont="1" applyFill="1" applyBorder="1" applyAlignment="1">
      <alignment horizontal="center" vertical="center"/>
    </xf>
    <xf numFmtId="0" fontId="41" fillId="2" borderId="9" xfId="0" applyFont="1" applyFill="1" applyBorder="1" applyAlignment="1">
      <alignment horizontal="center" vertical="center"/>
    </xf>
    <xf numFmtId="0" fontId="41" fillId="2" borderId="8" xfId="0" applyFont="1" applyFill="1" applyBorder="1" applyAlignment="1">
      <alignment horizontal="center" vertical="center"/>
    </xf>
    <xf numFmtId="0" fontId="41" fillId="2" borderId="5" xfId="0" applyFont="1" applyFill="1" applyBorder="1" applyAlignment="1">
      <alignment horizontal="center" vertical="center"/>
    </xf>
    <xf numFmtId="0" fontId="41" fillId="2" borderId="0" xfId="0" applyFont="1" applyFill="1" applyAlignment="1">
      <alignment horizontal="center" vertical="center"/>
    </xf>
    <xf numFmtId="0" fontId="41" fillId="2" borderId="7" xfId="0" applyFont="1" applyFill="1" applyBorder="1" applyAlignment="1">
      <alignment horizontal="center" vertical="center"/>
    </xf>
    <xf numFmtId="0" fontId="41" fillId="2" borderId="15" xfId="0" applyFont="1" applyFill="1" applyBorder="1" applyAlignment="1">
      <alignment horizontal="center" vertical="center"/>
    </xf>
    <xf numFmtId="0" fontId="41" fillId="2" borderId="6" xfId="0" applyFont="1" applyFill="1" applyBorder="1" applyAlignment="1">
      <alignment horizontal="center" vertical="center"/>
    </xf>
    <xf numFmtId="0" fontId="41" fillId="2" borderId="10" xfId="0" applyFont="1" applyFill="1" applyBorder="1" applyAlignment="1">
      <alignment horizontal="center" vertical="center"/>
    </xf>
    <xf numFmtId="0" fontId="38" fillId="4" borderId="1" xfId="0" applyFont="1" applyFill="1" applyBorder="1" applyAlignment="1">
      <alignment horizontal="center"/>
    </xf>
    <xf numFmtId="0" fontId="0" fillId="0" borderId="1" xfId="0" applyBorder="1" applyAlignment="1">
      <alignment horizontal="center"/>
    </xf>
    <xf numFmtId="0" fontId="25" fillId="8" borderId="13" xfId="0" applyFont="1" applyFill="1" applyBorder="1" applyAlignment="1">
      <alignment horizontal="center" vertical="center" wrapText="1"/>
    </xf>
    <xf numFmtId="0" fontId="25" fillId="8" borderId="12" xfId="0" applyFont="1" applyFill="1" applyBorder="1" applyAlignment="1">
      <alignment horizontal="center" vertical="center" wrapText="1"/>
    </xf>
    <xf numFmtId="0" fontId="25" fillId="8" borderId="11" xfId="0" applyFont="1" applyFill="1" applyBorder="1" applyAlignment="1">
      <alignment horizontal="center" vertical="center" wrapText="1"/>
    </xf>
    <xf numFmtId="0" fontId="0" fillId="0" borderId="30" xfId="0" applyBorder="1" applyAlignment="1">
      <alignment horizontal="center" vertical="center"/>
    </xf>
    <xf numFmtId="0" fontId="0" fillId="0" borderId="27" xfId="0" applyBorder="1" applyAlignment="1">
      <alignment horizontal="center" vertical="center"/>
    </xf>
    <xf numFmtId="0" fontId="0" fillId="0" borderId="32" xfId="0" applyBorder="1" applyAlignment="1">
      <alignment horizontal="center" vertical="center"/>
    </xf>
    <xf numFmtId="0" fontId="33" fillId="0" borderId="2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32" xfId="0" applyFont="1" applyBorder="1" applyAlignment="1">
      <alignment horizontal="center" vertical="center" wrapText="1"/>
    </xf>
    <xf numFmtId="0" fontId="32" fillId="10" borderId="18" xfId="0" applyFont="1" applyFill="1" applyBorder="1" applyAlignment="1">
      <alignment horizontal="center" vertical="center"/>
    </xf>
    <xf numFmtId="0" fontId="32" fillId="10" borderId="17" xfId="0" applyFont="1" applyFill="1" applyBorder="1" applyAlignment="1">
      <alignment horizontal="center" vertical="center"/>
    </xf>
    <xf numFmtId="0" fontId="33" fillId="0" borderId="20"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5" xfId="0" applyFont="1" applyBorder="1" applyAlignment="1">
      <alignment horizontal="center" vertical="center" wrapText="1"/>
    </xf>
    <xf numFmtId="0" fontId="32" fillId="10" borderId="16" xfId="0" applyFont="1" applyFill="1" applyBorder="1" applyAlignment="1">
      <alignment horizontal="center" vertical="center"/>
    </xf>
    <xf numFmtId="0" fontId="34" fillId="0" borderId="28" xfId="0" applyFont="1" applyBorder="1" applyAlignment="1">
      <alignment horizontal="center" vertical="center" textRotation="90" wrapText="1"/>
    </xf>
    <xf numFmtId="0" fontId="34" fillId="0" borderId="19" xfId="0" applyFont="1" applyBorder="1" applyAlignment="1">
      <alignment horizontal="center" vertical="center" textRotation="90" wrapText="1"/>
    </xf>
    <xf numFmtId="0" fontId="34" fillId="0" borderId="26" xfId="0" applyFont="1" applyBorder="1" applyAlignment="1">
      <alignment horizontal="center" vertical="center" textRotation="90" wrapText="1"/>
    </xf>
    <xf numFmtId="0" fontId="34" fillId="0" borderId="33" xfId="0" applyFont="1" applyBorder="1" applyAlignment="1">
      <alignment horizontal="center" vertical="center" textRotation="90" wrapText="1"/>
    </xf>
    <xf numFmtId="0" fontId="34" fillId="0" borderId="35" xfId="0" applyFont="1" applyBorder="1" applyAlignment="1">
      <alignment horizontal="center" vertical="center" textRotation="90" wrapText="1"/>
    </xf>
    <xf numFmtId="0" fontId="34" fillId="0" borderId="34" xfId="0" applyFont="1" applyBorder="1" applyAlignment="1">
      <alignment horizontal="center" vertical="center" textRotation="90" wrapText="1"/>
    </xf>
    <xf numFmtId="0" fontId="55" fillId="2" borderId="14" xfId="0" applyFont="1" applyFill="1" applyBorder="1" applyAlignment="1">
      <alignment horizontal="center" vertical="center"/>
    </xf>
    <xf numFmtId="0" fontId="55" fillId="2" borderId="5" xfId="0" applyFont="1" applyFill="1" applyBorder="1" applyAlignment="1">
      <alignment horizontal="center" vertical="center"/>
    </xf>
    <xf numFmtId="0" fontId="55" fillId="2" borderId="15" xfId="0" applyFont="1" applyFill="1" applyBorder="1" applyAlignment="1">
      <alignment horizontal="center" vertical="center"/>
    </xf>
    <xf numFmtId="0" fontId="0" fillId="0" borderId="0" xfId="0" applyAlignment="1">
      <alignment horizontal="center" vertical="center"/>
    </xf>
    <xf numFmtId="0" fontId="45" fillId="7" borderId="15" xfId="0" applyFont="1" applyFill="1" applyBorder="1" applyAlignment="1">
      <alignment horizontal="center" vertical="center"/>
    </xf>
    <xf numFmtId="0" fontId="45" fillId="7" borderId="6" xfId="0" applyFont="1" applyFill="1" applyBorder="1" applyAlignment="1">
      <alignment horizontal="center" vertical="center"/>
    </xf>
    <xf numFmtId="0" fontId="45" fillId="7" borderId="5" xfId="0" applyFont="1" applyFill="1" applyBorder="1" applyAlignment="1">
      <alignment horizontal="center" vertical="center"/>
    </xf>
    <xf numFmtId="0" fontId="45" fillId="7" borderId="0" xfId="0" applyFont="1" applyFill="1" applyAlignment="1">
      <alignment horizontal="center" vertical="center"/>
    </xf>
    <xf numFmtId="0" fontId="38" fillId="7" borderId="2" xfId="0" applyFont="1" applyFill="1" applyBorder="1" applyAlignment="1">
      <alignment horizontal="center" vertical="center"/>
    </xf>
    <xf numFmtId="0" fontId="38" fillId="7" borderId="4" xfId="0" applyFont="1" applyFill="1" applyBorder="1" applyAlignment="1">
      <alignment horizontal="center" vertical="center"/>
    </xf>
    <xf numFmtId="0" fontId="38" fillId="7" borderId="3" xfId="0" applyFont="1" applyFill="1" applyBorder="1" applyAlignment="1">
      <alignment horizontal="center" vertical="center"/>
    </xf>
    <xf numFmtId="0" fontId="45" fillId="7" borderId="2" xfId="0" applyFont="1" applyFill="1" applyBorder="1" applyAlignment="1">
      <alignment horizontal="center" vertical="center"/>
    </xf>
    <xf numFmtId="0" fontId="45" fillId="7" borderId="4" xfId="0" applyFont="1" applyFill="1" applyBorder="1" applyAlignment="1">
      <alignment horizontal="center" vertical="center"/>
    </xf>
    <xf numFmtId="0" fontId="52" fillId="0" borderId="0" xfId="0" applyFont="1" applyAlignment="1">
      <alignment horizontal="center" vertical="center"/>
    </xf>
    <xf numFmtId="0" fontId="29" fillId="3" borderId="1" xfId="0" applyFont="1" applyFill="1" applyBorder="1" applyAlignment="1">
      <alignment horizontal="center" vertical="center"/>
    </xf>
    <xf numFmtId="0" fontId="29" fillId="3" borderId="14" xfId="0" applyFont="1" applyFill="1" applyBorder="1" applyAlignment="1">
      <alignment horizontal="center" vertical="center"/>
    </xf>
    <xf numFmtId="0" fontId="29" fillId="3" borderId="9" xfId="0" applyFont="1" applyFill="1" applyBorder="1" applyAlignment="1">
      <alignment horizontal="center" vertical="center"/>
    </xf>
    <xf numFmtId="0" fontId="29" fillId="3" borderId="8" xfId="0" applyFont="1" applyFill="1" applyBorder="1" applyAlignment="1">
      <alignment horizontal="center" vertical="center"/>
    </xf>
    <xf numFmtId="0" fontId="45" fillId="3" borderId="2" xfId="0" applyFont="1" applyFill="1" applyBorder="1" applyAlignment="1">
      <alignment horizontal="center" vertical="center"/>
    </xf>
    <xf numFmtId="0" fontId="45" fillId="3" borderId="3" xfId="0" applyFont="1" applyFill="1" applyBorder="1" applyAlignment="1">
      <alignment horizontal="center" vertical="center"/>
    </xf>
    <xf numFmtId="168" fontId="9" fillId="2" borderId="5" xfId="0" applyNumberFormat="1" applyFont="1" applyFill="1" applyBorder="1" applyAlignment="1">
      <alignment horizontal="center" vertical="center"/>
    </xf>
    <xf numFmtId="168" fontId="9" fillId="2" borderId="7" xfId="0" applyNumberFormat="1" applyFont="1" applyFill="1" applyBorder="1" applyAlignment="1">
      <alignment horizontal="center" vertical="center"/>
    </xf>
    <xf numFmtId="168" fontId="9" fillId="2" borderId="15" xfId="0" applyNumberFormat="1" applyFont="1" applyFill="1" applyBorder="1" applyAlignment="1">
      <alignment horizontal="center" vertical="center"/>
    </xf>
    <xf numFmtId="168" fontId="9" fillId="2" borderId="10" xfId="0" applyNumberFormat="1" applyFont="1" applyFill="1" applyBorder="1" applyAlignment="1">
      <alignment horizontal="center" vertical="center"/>
    </xf>
    <xf numFmtId="168" fontId="9" fillId="2" borderId="14" xfId="0" applyNumberFormat="1" applyFont="1" applyFill="1" applyBorder="1" applyAlignment="1">
      <alignment horizontal="center" vertical="center"/>
    </xf>
    <xf numFmtId="168" fontId="9" fillId="2" borderId="8" xfId="0" applyNumberFormat="1" applyFont="1" applyFill="1" applyBorder="1" applyAlignment="1">
      <alignment horizontal="center" vertical="center"/>
    </xf>
    <xf numFmtId="0" fontId="45" fillId="3" borderId="14" xfId="0" applyFont="1" applyFill="1" applyBorder="1" applyAlignment="1">
      <alignment horizontal="center" vertical="center"/>
    </xf>
    <xf numFmtId="0" fontId="45" fillId="3" borderId="9" xfId="0" applyFont="1" applyFill="1" applyBorder="1" applyAlignment="1">
      <alignment horizontal="center" vertical="center"/>
    </xf>
    <xf numFmtId="0" fontId="45" fillId="3" borderId="8" xfId="0" applyFont="1" applyFill="1" applyBorder="1" applyAlignment="1">
      <alignment horizontal="center" vertical="center"/>
    </xf>
    <xf numFmtId="0" fontId="59" fillId="0" borderId="1" xfId="0" applyFont="1" applyBorder="1" applyAlignment="1">
      <alignment horizontal="center"/>
    </xf>
  </cellXfs>
  <cellStyles count="4">
    <cellStyle name="Currency" xfId="3" builtinId="4"/>
    <cellStyle name="Hyperlink" xfId="1" builtinId="8"/>
    <cellStyle name="Normal" xfId="0" builtinId="0"/>
    <cellStyle name="Percent" xfId="2" builtinId="5"/>
  </cellStyles>
  <dxfs count="20">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FF0000"/>
      </font>
      <fill>
        <patternFill>
          <fgColor auto="1"/>
          <bgColor theme="0"/>
        </patternFill>
      </fill>
      <border>
        <left style="thin">
          <color rgb="FFFF0000"/>
        </left>
        <right style="thin">
          <color rgb="FFFF0000"/>
        </right>
        <top style="thin">
          <color rgb="FFFF0000"/>
        </top>
        <bottom style="thin">
          <color rgb="FFFF0000"/>
        </bottom>
        <vertical/>
        <horizontal/>
      </border>
    </dxf>
    <dxf>
      <fill>
        <patternFill>
          <bgColor rgb="FFFF0000"/>
        </patternFill>
      </fill>
    </dxf>
    <dxf>
      <font>
        <b/>
        <i val="0"/>
        <strike val="0"/>
        <u/>
        <color rgb="FFF9DB1C"/>
      </font>
    </dxf>
    <dxf>
      <fill>
        <patternFill>
          <bgColor rgb="FFFF0000"/>
        </patternFill>
      </fill>
    </dxf>
    <dxf>
      <font>
        <b/>
        <i val="0"/>
        <strike val="0"/>
        <u/>
        <color rgb="FFF9DB1C"/>
      </font>
    </dxf>
    <dxf>
      <fill>
        <patternFill>
          <bgColor rgb="FFFF0000"/>
        </patternFill>
      </fill>
    </dxf>
    <dxf>
      <font>
        <b/>
        <i val="0"/>
        <strike val="0"/>
        <u/>
        <color rgb="FFF9DB1C"/>
      </font>
    </dxf>
    <dxf>
      <fill>
        <patternFill>
          <bgColor rgb="FFFF0000"/>
        </patternFill>
      </fill>
    </dxf>
    <dxf>
      <fill>
        <patternFill>
          <bgColor rgb="FFFF0000"/>
        </patternFill>
      </fill>
    </dxf>
    <dxf>
      <fill>
        <patternFill>
          <bgColor rgb="FFFF0000"/>
        </patternFill>
      </fill>
    </dxf>
    <dxf>
      <font>
        <color theme="0"/>
      </font>
      <fill>
        <patternFill>
          <bgColor theme="0"/>
        </patternFill>
      </fill>
      <border>
        <left/>
        <right/>
        <top/>
        <bottom/>
        <vertical/>
        <horizontal/>
      </border>
    </dxf>
    <dxf>
      <font>
        <b/>
        <i val="0"/>
        <strike val="0"/>
        <u/>
        <color rgb="FFF9DB1C"/>
      </font>
    </dxf>
    <dxf>
      <fill>
        <patternFill>
          <bgColor theme="0"/>
        </patternFill>
      </fill>
    </dxf>
    <dxf>
      <fill>
        <patternFill>
          <bgColor rgb="FFFF0000"/>
        </patternFill>
      </fill>
    </dxf>
    <dxf>
      <font>
        <color theme="1"/>
      </font>
      <fill>
        <patternFill>
          <bgColor rgb="FFF9D900"/>
        </patternFill>
      </fill>
    </dxf>
  </dxfs>
  <tableStyles count="0" defaultTableStyle="TableStyleMedium2" defaultPivotStyle="PivotStyleLight16"/>
  <colors>
    <mruColors>
      <color rgb="FFF9D900"/>
      <color rgb="FFF9DB1C"/>
      <color rgb="FF278C46"/>
      <color rgb="FF78B90F"/>
      <color rgb="FFDBEFDF"/>
      <color rgb="FF31B159"/>
      <color rgb="FF9DD3A7"/>
      <color rgb="FFFF0909"/>
      <color rgb="FFCC00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Precio</a:t>
            </a:r>
            <a:r>
              <a:rPr lang="es-MX" baseline="0"/>
              <a:t> Por Watt</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'Análisis de costo'!$G$9</c:f>
              <c:strCache>
                <c:ptCount val="1"/>
                <c:pt idx="0">
                  <c:v>Precio por Watt Total</c:v>
                </c:pt>
              </c:strCache>
            </c:strRef>
          </c:tx>
          <c:spPr>
            <a:solidFill>
              <a:schemeClr val="accent1"/>
            </a:solidFill>
            <a:ln>
              <a:noFill/>
            </a:ln>
            <a:effectLst/>
          </c:spPr>
          <c:invertIfNegative val="0"/>
          <c:val>
            <c:numRef>
              <c:f>'Análisis de costo'!$H$9</c:f>
              <c:numCache>
                <c:formatCode>_-"$"* #,##0.00_-;\-"$"* #,##0.00_-;_-"$"* "-"??_-;_-@_-</c:formatCode>
                <c:ptCount val="1"/>
                <c:pt idx="0">
                  <c:v>3.164227642276423E-2</c:v>
                </c:pt>
              </c:numCache>
            </c:numRef>
          </c:val>
          <c:extLst>
            <c:ext xmlns:c16="http://schemas.microsoft.com/office/drawing/2014/chart" uri="{C3380CC4-5D6E-409C-BE32-E72D297353CC}">
              <c16:uniqueId val="{00000000-2445-4B51-93C6-DCD9B7DF77E1}"/>
            </c:ext>
          </c:extLst>
        </c:ser>
        <c:ser>
          <c:idx val="1"/>
          <c:order val="1"/>
          <c:tx>
            <c:strRef>
              <c:f>'Análisis de costo'!$G$26</c:f>
              <c:strCache>
                <c:ptCount val="1"/>
                <c:pt idx="0">
                  <c:v>Precio por Watt Superficie Inclinada</c:v>
                </c:pt>
              </c:strCache>
            </c:strRef>
          </c:tx>
          <c:spPr>
            <a:solidFill>
              <a:schemeClr val="accent2"/>
            </a:solidFill>
            <a:ln>
              <a:noFill/>
            </a:ln>
            <a:effectLst/>
          </c:spPr>
          <c:invertIfNegative val="0"/>
          <c:val>
            <c:numRef>
              <c:f>'Análisis de costo'!$H$26</c:f>
              <c:numCache>
                <c:formatCode>_-"$"* #,##0.000_-;\-"$"* #,##0.000_-;_-"$"* "-"??_-;_-@_-</c:formatCode>
                <c:ptCount val="1"/>
                <c:pt idx="0">
                  <c:v>3.2139837398373984E-2</c:v>
                </c:pt>
              </c:numCache>
            </c:numRef>
          </c:val>
          <c:extLst>
            <c:ext xmlns:c16="http://schemas.microsoft.com/office/drawing/2014/chart" uri="{C3380CC4-5D6E-409C-BE32-E72D297353CC}">
              <c16:uniqueId val="{00000001-2445-4B51-93C6-DCD9B7DF77E1}"/>
            </c:ext>
          </c:extLst>
        </c:ser>
        <c:ser>
          <c:idx val="2"/>
          <c:order val="2"/>
          <c:tx>
            <c:strRef>
              <c:f>'Análisis de costo'!$O$26</c:f>
              <c:strCache>
                <c:ptCount val="1"/>
                <c:pt idx="0">
                  <c:v>Precio por Watt Doble Fila</c:v>
                </c:pt>
              </c:strCache>
            </c:strRef>
          </c:tx>
          <c:spPr>
            <a:solidFill>
              <a:schemeClr val="accent3"/>
            </a:solidFill>
            <a:ln>
              <a:noFill/>
            </a:ln>
            <a:effectLst/>
          </c:spPr>
          <c:invertIfNegative val="0"/>
          <c:val>
            <c:numRef>
              <c:f>'Análisis de costo'!$P$26</c:f>
              <c:numCache>
                <c:formatCode>_-"$"* #,##0.000_-;\-"$"* #,##0.000_-;_-"$"* "-"??_-;_-@_-</c:formatCode>
                <c:ptCount val="1"/>
                <c:pt idx="0">
                  <c:v>0</c:v>
                </c:pt>
              </c:numCache>
            </c:numRef>
          </c:val>
          <c:extLst>
            <c:ext xmlns:c16="http://schemas.microsoft.com/office/drawing/2014/chart" uri="{C3380CC4-5D6E-409C-BE32-E72D297353CC}">
              <c16:uniqueId val="{00000002-2445-4B51-93C6-DCD9B7DF77E1}"/>
            </c:ext>
          </c:extLst>
        </c:ser>
        <c:ser>
          <c:idx val="3"/>
          <c:order val="3"/>
          <c:tx>
            <c:strRef>
              <c:f>'Análisis de costo'!$G$41</c:f>
              <c:strCache>
                <c:ptCount val="1"/>
                <c:pt idx="0">
                  <c:v>Precio por Watt Una Fila</c:v>
                </c:pt>
              </c:strCache>
            </c:strRef>
          </c:tx>
          <c:spPr>
            <a:solidFill>
              <a:schemeClr val="accent4"/>
            </a:solidFill>
            <a:ln>
              <a:noFill/>
            </a:ln>
            <a:effectLst/>
          </c:spPr>
          <c:invertIfNegative val="0"/>
          <c:val>
            <c:numRef>
              <c:f>'Análisis de costo'!$H$41</c:f>
              <c:numCache>
                <c:formatCode>_-"$"* #,##0.000_-;\-"$"* #,##0.000_-;_-"$"* "-"??_-;_-@_-</c:formatCode>
                <c:ptCount val="1"/>
                <c:pt idx="0">
                  <c:v>0</c:v>
                </c:pt>
              </c:numCache>
            </c:numRef>
          </c:val>
          <c:extLst>
            <c:ext xmlns:c16="http://schemas.microsoft.com/office/drawing/2014/chart" uri="{C3380CC4-5D6E-409C-BE32-E72D297353CC}">
              <c16:uniqueId val="{00000003-2445-4B51-93C6-DCD9B7DF77E1}"/>
            </c:ext>
          </c:extLst>
        </c:ser>
        <c:ser>
          <c:idx val="4"/>
          <c:order val="4"/>
          <c:tx>
            <c:strRef>
              <c:f>'Análisis de costo'!$O$41</c:f>
              <c:strCache>
                <c:ptCount val="1"/>
                <c:pt idx="0">
                  <c:v>Precio por Watt NT Rail</c:v>
                </c:pt>
              </c:strCache>
            </c:strRef>
          </c:tx>
          <c:spPr>
            <a:solidFill>
              <a:schemeClr val="accent5"/>
            </a:solidFill>
            <a:ln>
              <a:noFill/>
            </a:ln>
            <a:effectLst/>
          </c:spPr>
          <c:invertIfNegative val="0"/>
          <c:val>
            <c:numRef>
              <c:f>'Análisis de costo'!$P$41</c:f>
              <c:numCache>
                <c:formatCode>_-"$"* #,##0.00_-;\-"$"* #,##0.00_-;_-"$"* "-"??_-;_-@_-</c:formatCode>
                <c:ptCount val="1"/>
                <c:pt idx="0">
                  <c:v>3.0149593495934959E-2</c:v>
                </c:pt>
              </c:numCache>
            </c:numRef>
          </c:val>
          <c:extLst>
            <c:ext xmlns:c16="http://schemas.microsoft.com/office/drawing/2014/chart" uri="{C3380CC4-5D6E-409C-BE32-E72D297353CC}">
              <c16:uniqueId val="{00000004-2445-4B51-93C6-DCD9B7DF77E1}"/>
            </c:ext>
          </c:extLst>
        </c:ser>
        <c:dLbls>
          <c:showLegendKey val="0"/>
          <c:showVal val="0"/>
          <c:showCatName val="0"/>
          <c:showSerName val="0"/>
          <c:showPercent val="0"/>
          <c:showBubbleSize val="0"/>
        </c:dLbls>
        <c:gapWidth val="219"/>
        <c:overlap val="-27"/>
        <c:axId val="2070929695"/>
        <c:axId val="2070927615"/>
      </c:barChart>
      <c:catAx>
        <c:axId val="207092969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070927615"/>
        <c:crosses val="autoZero"/>
        <c:auto val="1"/>
        <c:lblAlgn val="ctr"/>
        <c:lblOffset val="100"/>
        <c:noMultiLvlLbl val="0"/>
      </c:catAx>
      <c:valAx>
        <c:axId val="207092761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quot;$&quot;* #,##0.0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0709296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13" Type="http://schemas.openxmlformats.org/officeDocument/2006/relationships/image" Target="../media/image12.jpeg"/><Relationship Id="rId18" Type="http://schemas.openxmlformats.org/officeDocument/2006/relationships/image" Target="../media/image17.svg"/><Relationship Id="rId3" Type="http://schemas.openxmlformats.org/officeDocument/2006/relationships/image" Target="../media/image3.png"/><Relationship Id="rId21" Type="http://schemas.openxmlformats.org/officeDocument/2006/relationships/image" Target="../media/image20.png"/><Relationship Id="rId7" Type="http://schemas.openxmlformats.org/officeDocument/2006/relationships/image" Target="../media/image6.jpeg"/><Relationship Id="rId12" Type="http://schemas.openxmlformats.org/officeDocument/2006/relationships/image" Target="../media/image11.jpeg"/><Relationship Id="rId17" Type="http://schemas.openxmlformats.org/officeDocument/2006/relationships/image" Target="../media/image16.png"/><Relationship Id="rId2" Type="http://schemas.openxmlformats.org/officeDocument/2006/relationships/image" Target="../media/image2.png"/><Relationship Id="rId16" Type="http://schemas.openxmlformats.org/officeDocument/2006/relationships/image" Target="../media/image15.png"/><Relationship Id="rId20" Type="http://schemas.openxmlformats.org/officeDocument/2006/relationships/image" Target="../media/image19.svg"/><Relationship Id="rId1" Type="http://schemas.openxmlformats.org/officeDocument/2006/relationships/image" Target="../media/image1.png"/><Relationship Id="rId6" Type="http://schemas.openxmlformats.org/officeDocument/2006/relationships/hyperlink" Target="https://solar-distribution.baywa-re.mx/fileadmin/Solar_Distribution_MX/03_Images_for_Subpages/novotegra/Terminos_y_Condiciones_garantia_novotegra.pdf" TargetMode="External"/><Relationship Id="rId11" Type="http://schemas.openxmlformats.org/officeDocument/2006/relationships/image" Target="../media/image10.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9.jpeg"/><Relationship Id="rId19" Type="http://schemas.openxmlformats.org/officeDocument/2006/relationships/image" Target="../media/image18.png"/><Relationship Id="rId4" Type="http://schemas.openxmlformats.org/officeDocument/2006/relationships/image" Target="../media/image4.png"/><Relationship Id="rId9" Type="http://schemas.openxmlformats.org/officeDocument/2006/relationships/image" Target="../media/image8.jpeg"/><Relationship Id="rId14" Type="http://schemas.openxmlformats.org/officeDocument/2006/relationships/image" Target="../media/image13.png"/></Relationships>
</file>

<file path=xl/drawings/_rels/drawing2.xml.rels><?xml version="1.0" encoding="UTF-8" standalone="yes"?>
<Relationships xmlns="http://schemas.openxmlformats.org/package/2006/relationships"><Relationship Id="rId8" Type="http://schemas.openxmlformats.org/officeDocument/2006/relationships/image" Target="../media/image26.emf"/><Relationship Id="rId3" Type="http://schemas.openxmlformats.org/officeDocument/2006/relationships/image" Target="../media/image22.png"/><Relationship Id="rId7" Type="http://schemas.openxmlformats.org/officeDocument/2006/relationships/image" Target="../media/image25.emf"/><Relationship Id="rId2" Type="http://schemas.openxmlformats.org/officeDocument/2006/relationships/hyperlink" Target="#'Manual de Usuario'!B118"/><Relationship Id="rId1" Type="http://schemas.openxmlformats.org/officeDocument/2006/relationships/image" Target="../media/image21.png"/><Relationship Id="rId6" Type="http://schemas.openxmlformats.org/officeDocument/2006/relationships/image" Target="../media/image24.png"/><Relationship Id="rId5" Type="http://schemas.openxmlformats.org/officeDocument/2006/relationships/hyperlink" Target="#'Manual de Usuario'!B123"/><Relationship Id="rId10" Type="http://schemas.openxmlformats.org/officeDocument/2006/relationships/image" Target="../media/image28.emf"/><Relationship Id="rId4" Type="http://schemas.openxmlformats.org/officeDocument/2006/relationships/image" Target="../media/image23.svg"/><Relationship Id="rId9" Type="http://schemas.openxmlformats.org/officeDocument/2006/relationships/image" Target="../media/image27.emf"/></Relationships>
</file>

<file path=xl/drawings/_rels/drawing3.xml.rels><?xml version="1.0" encoding="UTF-8" standalone="yes"?>
<Relationships xmlns="http://schemas.openxmlformats.org/package/2006/relationships"><Relationship Id="rId3" Type="http://schemas.openxmlformats.org/officeDocument/2006/relationships/image" Target="../media/image31.emf"/><Relationship Id="rId2" Type="http://schemas.openxmlformats.org/officeDocument/2006/relationships/image" Target="../media/image30.emf"/><Relationship Id="rId1" Type="http://schemas.openxmlformats.org/officeDocument/2006/relationships/image" Target="../media/image29.png"/><Relationship Id="rId5" Type="http://schemas.openxmlformats.org/officeDocument/2006/relationships/image" Target="../media/image33.png"/><Relationship Id="rId4" Type="http://schemas.openxmlformats.org/officeDocument/2006/relationships/image" Target="../media/image32.emf"/></Relationships>
</file>

<file path=xl/drawings/_rels/drawing4.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29.png"/><Relationship Id="rId1" Type="http://schemas.openxmlformats.org/officeDocument/2006/relationships/image" Target="../media/image38.emf"/></Relationships>
</file>

<file path=xl/drawings/_rels/drawing5.xml.rels><?xml version="1.0" encoding="UTF-8" standalone="yes"?>
<Relationships xmlns="http://schemas.openxmlformats.org/package/2006/relationships"><Relationship Id="rId3" Type="http://schemas.openxmlformats.org/officeDocument/2006/relationships/image" Target="../media/image41.emf"/><Relationship Id="rId2" Type="http://schemas.openxmlformats.org/officeDocument/2006/relationships/image" Target="../media/image40.emf"/><Relationship Id="rId1" Type="http://schemas.openxmlformats.org/officeDocument/2006/relationships/image" Target="../media/image5.png"/><Relationship Id="rId5" Type="http://schemas.openxmlformats.org/officeDocument/2006/relationships/image" Target="../media/image33.png"/><Relationship Id="rId4" Type="http://schemas.openxmlformats.org/officeDocument/2006/relationships/image" Target="../media/image42.emf"/></Relationships>
</file>

<file path=xl/drawings/_rels/drawing6.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46.png"/></Relationships>
</file>

<file path=xl/drawings/_rels/drawing7.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49.png"/><Relationship Id="rId7" Type="http://schemas.openxmlformats.org/officeDocument/2006/relationships/image" Target="../media/image53.png"/><Relationship Id="rId2" Type="http://schemas.openxmlformats.org/officeDocument/2006/relationships/image" Target="../media/image48.png"/><Relationship Id="rId1" Type="http://schemas.openxmlformats.org/officeDocument/2006/relationships/image" Target="../media/image47.png"/><Relationship Id="rId6" Type="http://schemas.openxmlformats.org/officeDocument/2006/relationships/image" Target="../media/image52.png"/><Relationship Id="rId5" Type="http://schemas.openxmlformats.org/officeDocument/2006/relationships/image" Target="../media/image51.png"/><Relationship Id="rId4" Type="http://schemas.openxmlformats.org/officeDocument/2006/relationships/image" Target="../media/image50.png"/></Relationships>
</file>

<file path=xl/drawings/_rels/drawing9.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36.emf"/><Relationship Id="rId2" Type="http://schemas.openxmlformats.org/officeDocument/2006/relationships/image" Target="../media/image35.emf"/><Relationship Id="rId1" Type="http://schemas.openxmlformats.org/officeDocument/2006/relationships/image" Target="../media/image3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7.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7.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45.emf"/><Relationship Id="rId2" Type="http://schemas.openxmlformats.org/officeDocument/2006/relationships/image" Target="../media/image44.emf"/><Relationship Id="rId1" Type="http://schemas.openxmlformats.org/officeDocument/2006/relationships/image" Target="../media/image4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7.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7.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7.png"/></Relationships>
</file>

<file path=xl/drawings/drawing1.xml><?xml version="1.0" encoding="utf-8"?>
<xdr:wsDr xmlns:xdr="http://schemas.openxmlformats.org/drawingml/2006/spreadsheetDrawing" xmlns:a="http://schemas.openxmlformats.org/drawingml/2006/main">
  <xdr:twoCellAnchor editAs="oneCell">
    <xdr:from>
      <xdr:col>15</xdr:col>
      <xdr:colOff>624841</xdr:colOff>
      <xdr:row>39</xdr:row>
      <xdr:rowOff>137159</xdr:rowOff>
    </xdr:from>
    <xdr:to>
      <xdr:col>24</xdr:col>
      <xdr:colOff>335473</xdr:colOff>
      <xdr:row>41</xdr:row>
      <xdr:rowOff>119810</xdr:rowOff>
    </xdr:to>
    <xdr:pic>
      <xdr:nvPicPr>
        <xdr:cNvPr id="55" name="Imagen 54">
          <a:extLst>
            <a:ext uri="{FF2B5EF4-FFF2-40B4-BE49-F238E27FC236}">
              <a16:creationId xmlns:a16="http://schemas.microsoft.com/office/drawing/2014/main" id="{FA60F28A-8796-95EE-31D8-83C1D7C9AC9E}"/>
            </a:ext>
          </a:extLst>
        </xdr:cNvPr>
        <xdr:cNvPicPr>
          <a:picLocks noChangeAspect="1"/>
        </xdr:cNvPicPr>
      </xdr:nvPicPr>
      <xdr:blipFill rotWithShape="1">
        <a:blip xmlns:r="http://schemas.openxmlformats.org/officeDocument/2006/relationships" r:embed="rId1"/>
        <a:srcRect r="23633" b="-3614"/>
        <a:stretch/>
      </xdr:blipFill>
      <xdr:spPr>
        <a:xfrm>
          <a:off x="11024464" y="8080650"/>
          <a:ext cx="6408084" cy="390009"/>
        </a:xfrm>
        <a:prstGeom prst="rect">
          <a:avLst/>
        </a:prstGeom>
      </xdr:spPr>
    </xdr:pic>
    <xdr:clientData/>
  </xdr:twoCellAnchor>
  <xdr:twoCellAnchor editAs="oneCell">
    <xdr:from>
      <xdr:col>14</xdr:col>
      <xdr:colOff>777240</xdr:colOff>
      <xdr:row>16</xdr:row>
      <xdr:rowOff>121920</xdr:rowOff>
    </xdr:from>
    <xdr:to>
      <xdr:col>26</xdr:col>
      <xdr:colOff>620395</xdr:colOff>
      <xdr:row>18</xdr:row>
      <xdr:rowOff>68732</xdr:rowOff>
    </xdr:to>
    <xdr:pic>
      <xdr:nvPicPr>
        <xdr:cNvPr id="8" name="Imagen 7">
          <a:extLst>
            <a:ext uri="{FF2B5EF4-FFF2-40B4-BE49-F238E27FC236}">
              <a16:creationId xmlns:a16="http://schemas.microsoft.com/office/drawing/2014/main" id="{B5E5B715-B336-7ED6-7AE4-F42B7E050447}"/>
            </a:ext>
          </a:extLst>
        </xdr:cNvPr>
        <xdr:cNvPicPr>
          <a:picLocks noChangeAspect="1"/>
        </xdr:cNvPicPr>
      </xdr:nvPicPr>
      <xdr:blipFill>
        <a:blip xmlns:r="http://schemas.openxmlformats.org/officeDocument/2006/relationships" r:embed="rId2"/>
        <a:stretch>
          <a:fillRect/>
        </a:stretch>
      </xdr:blipFill>
      <xdr:spPr>
        <a:xfrm>
          <a:off x="8610600" y="3535680"/>
          <a:ext cx="8839200" cy="370357"/>
        </a:xfrm>
        <a:prstGeom prst="rect">
          <a:avLst/>
        </a:prstGeom>
      </xdr:spPr>
    </xdr:pic>
    <xdr:clientData/>
  </xdr:twoCellAnchor>
  <xdr:twoCellAnchor editAs="oneCell">
    <xdr:from>
      <xdr:col>0</xdr:col>
      <xdr:colOff>371475</xdr:colOff>
      <xdr:row>1</xdr:row>
      <xdr:rowOff>76200</xdr:rowOff>
    </xdr:from>
    <xdr:to>
      <xdr:col>7</xdr:col>
      <xdr:colOff>183938</xdr:colOff>
      <xdr:row>5</xdr:row>
      <xdr:rowOff>190500</xdr:rowOff>
    </xdr:to>
    <xdr:pic>
      <xdr:nvPicPr>
        <xdr:cNvPr id="3" name="Imagen 2">
          <a:extLst>
            <a:ext uri="{FF2B5EF4-FFF2-40B4-BE49-F238E27FC236}">
              <a16:creationId xmlns:a16="http://schemas.microsoft.com/office/drawing/2014/main" id="{2AA17BB0-432A-492A-86ED-D7A1C05D1DF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1475" y="266700"/>
          <a:ext cx="3810000" cy="952500"/>
        </a:xfrm>
        <a:prstGeom prst="rect">
          <a:avLst/>
        </a:prstGeom>
      </xdr:spPr>
    </xdr:pic>
    <xdr:clientData/>
  </xdr:twoCellAnchor>
  <xdr:twoCellAnchor editAs="oneCell">
    <xdr:from>
      <xdr:col>3</xdr:col>
      <xdr:colOff>352425</xdr:colOff>
      <xdr:row>22</xdr:row>
      <xdr:rowOff>166592</xdr:rowOff>
    </xdr:from>
    <xdr:to>
      <xdr:col>11</xdr:col>
      <xdr:colOff>217805</xdr:colOff>
      <xdr:row>25</xdr:row>
      <xdr:rowOff>184055</xdr:rowOff>
    </xdr:to>
    <xdr:pic>
      <xdr:nvPicPr>
        <xdr:cNvPr id="4" name="Imagen 3">
          <a:extLst>
            <a:ext uri="{FF2B5EF4-FFF2-40B4-BE49-F238E27FC236}">
              <a16:creationId xmlns:a16="http://schemas.microsoft.com/office/drawing/2014/main" id="{7783980C-F5C3-4C86-92D6-FCA5EC7E9162}"/>
            </a:ext>
          </a:extLst>
        </xdr:cNvPr>
        <xdr:cNvPicPr>
          <a:picLocks noChangeAspect="1"/>
        </xdr:cNvPicPr>
      </xdr:nvPicPr>
      <xdr:blipFill>
        <a:blip xmlns:r="http://schemas.openxmlformats.org/officeDocument/2006/relationships" r:embed="rId4"/>
        <a:stretch>
          <a:fillRect/>
        </a:stretch>
      </xdr:blipFill>
      <xdr:spPr>
        <a:xfrm>
          <a:off x="1343025" y="4776692"/>
          <a:ext cx="5915025" cy="642938"/>
        </a:xfrm>
        <a:prstGeom prst="rect">
          <a:avLst/>
        </a:prstGeom>
      </xdr:spPr>
    </xdr:pic>
    <xdr:clientData/>
  </xdr:twoCellAnchor>
  <xdr:twoCellAnchor>
    <xdr:from>
      <xdr:col>6</xdr:col>
      <xdr:colOff>720090</xdr:colOff>
      <xdr:row>22</xdr:row>
      <xdr:rowOff>110490</xdr:rowOff>
    </xdr:from>
    <xdr:to>
      <xdr:col>11</xdr:col>
      <xdr:colOff>714375</xdr:colOff>
      <xdr:row>24</xdr:row>
      <xdr:rowOff>72390</xdr:rowOff>
    </xdr:to>
    <xdr:sp macro="" textlink="">
      <xdr:nvSpPr>
        <xdr:cNvPr id="5" name="Elipse 4">
          <a:extLst>
            <a:ext uri="{FF2B5EF4-FFF2-40B4-BE49-F238E27FC236}">
              <a16:creationId xmlns:a16="http://schemas.microsoft.com/office/drawing/2014/main" id="{79C93878-24FB-449F-B5A5-DE1440772FBF}"/>
            </a:ext>
          </a:extLst>
        </xdr:cNvPr>
        <xdr:cNvSpPr/>
      </xdr:nvSpPr>
      <xdr:spPr>
        <a:xfrm>
          <a:off x="4072890" y="4804410"/>
          <a:ext cx="3956685" cy="38862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14</xdr:col>
      <xdr:colOff>617220</xdr:colOff>
      <xdr:row>16</xdr:row>
      <xdr:rowOff>106680</xdr:rowOff>
    </xdr:from>
    <xdr:to>
      <xdr:col>18</xdr:col>
      <xdr:colOff>350520</xdr:colOff>
      <xdr:row>18</xdr:row>
      <xdr:rowOff>60960</xdr:rowOff>
    </xdr:to>
    <xdr:sp macro="" textlink="">
      <xdr:nvSpPr>
        <xdr:cNvPr id="15" name="Elipse 14">
          <a:extLst>
            <a:ext uri="{FF2B5EF4-FFF2-40B4-BE49-F238E27FC236}">
              <a16:creationId xmlns:a16="http://schemas.microsoft.com/office/drawing/2014/main" id="{FA3492A6-635B-4BAA-9CC5-39251D23E41D}"/>
            </a:ext>
          </a:extLst>
        </xdr:cNvPr>
        <xdr:cNvSpPr/>
      </xdr:nvSpPr>
      <xdr:spPr>
        <a:xfrm>
          <a:off x="10294620" y="3520440"/>
          <a:ext cx="2232660" cy="381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16</xdr:col>
      <xdr:colOff>422910</xdr:colOff>
      <xdr:row>13</xdr:row>
      <xdr:rowOff>186593</xdr:rowOff>
    </xdr:from>
    <xdr:to>
      <xdr:col>16</xdr:col>
      <xdr:colOff>430852</xdr:colOff>
      <xdr:row>16</xdr:row>
      <xdr:rowOff>106680</xdr:rowOff>
    </xdr:to>
    <xdr:cxnSp macro="">
      <xdr:nvCxnSpPr>
        <xdr:cNvPr id="21" name="Conector recto de flecha 20">
          <a:extLst>
            <a:ext uri="{FF2B5EF4-FFF2-40B4-BE49-F238E27FC236}">
              <a16:creationId xmlns:a16="http://schemas.microsoft.com/office/drawing/2014/main" id="{A96B5EA7-4198-4D06-8C67-AC18EA6757C8}"/>
            </a:ext>
          </a:extLst>
        </xdr:cNvPr>
        <xdr:cNvCxnSpPr>
          <a:stCxn id="15" idx="0"/>
          <a:endCxn id="23" idx="2"/>
        </xdr:cNvCxnSpPr>
      </xdr:nvCxnSpPr>
      <xdr:spPr>
        <a:xfrm flipV="1">
          <a:off x="11410950" y="2960273"/>
          <a:ext cx="7942" cy="56016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343544</xdr:colOff>
      <xdr:row>9</xdr:row>
      <xdr:rowOff>30480</xdr:rowOff>
    </xdr:from>
    <xdr:to>
      <xdr:col>18</xdr:col>
      <xdr:colOff>15240</xdr:colOff>
      <xdr:row>13</xdr:row>
      <xdr:rowOff>186593</xdr:rowOff>
    </xdr:to>
    <xdr:sp macro="" textlink="">
      <xdr:nvSpPr>
        <xdr:cNvPr id="23" name="CuadroTexto 22">
          <a:extLst>
            <a:ext uri="{FF2B5EF4-FFF2-40B4-BE49-F238E27FC236}">
              <a16:creationId xmlns:a16="http://schemas.microsoft.com/office/drawing/2014/main" id="{10A4BC31-640E-49BA-85C9-4B986028C256}"/>
            </a:ext>
          </a:extLst>
        </xdr:cNvPr>
        <xdr:cNvSpPr txBox="1"/>
      </xdr:nvSpPr>
      <xdr:spPr>
        <a:xfrm>
          <a:off x="10645784" y="1950720"/>
          <a:ext cx="1546216" cy="100955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000">
              <a:latin typeface="BayWa Sans Book" panose="02010003040000000000" pitchFamily="50" charset="0"/>
            </a:rPr>
            <a:t>En la hoja "manual de usuario" encontraremos las instrucciones de uso de la herramienta.</a:t>
          </a:r>
        </a:p>
      </xdr:txBody>
    </xdr:sp>
    <xdr:clientData/>
  </xdr:twoCellAnchor>
  <xdr:twoCellAnchor>
    <xdr:from>
      <xdr:col>18</xdr:col>
      <xdr:colOff>356518</xdr:colOff>
      <xdr:row>16</xdr:row>
      <xdr:rowOff>101898</xdr:rowOff>
    </xdr:from>
    <xdr:to>
      <xdr:col>20</xdr:col>
      <xdr:colOff>716280</xdr:colOff>
      <xdr:row>18</xdr:row>
      <xdr:rowOff>76200</xdr:rowOff>
    </xdr:to>
    <xdr:sp macro="" textlink="">
      <xdr:nvSpPr>
        <xdr:cNvPr id="29" name="Elipse 28">
          <a:extLst>
            <a:ext uri="{FF2B5EF4-FFF2-40B4-BE49-F238E27FC236}">
              <a16:creationId xmlns:a16="http://schemas.microsoft.com/office/drawing/2014/main" id="{A753CD5D-CC44-44B9-A983-A208C7CEFB72}"/>
            </a:ext>
          </a:extLst>
        </xdr:cNvPr>
        <xdr:cNvSpPr/>
      </xdr:nvSpPr>
      <xdr:spPr>
        <a:xfrm>
          <a:off x="12533278" y="3515658"/>
          <a:ext cx="1944722" cy="401022"/>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19</xdr:col>
      <xdr:colOff>533559</xdr:colOff>
      <xdr:row>18</xdr:row>
      <xdr:rowOff>76200</xdr:rowOff>
    </xdr:from>
    <xdr:to>
      <xdr:col>19</xdr:col>
      <xdr:colOff>536399</xdr:colOff>
      <xdr:row>20</xdr:row>
      <xdr:rowOff>138720</xdr:rowOff>
    </xdr:to>
    <xdr:cxnSp macro="">
      <xdr:nvCxnSpPr>
        <xdr:cNvPr id="30" name="Conector recto de flecha 29">
          <a:extLst>
            <a:ext uri="{FF2B5EF4-FFF2-40B4-BE49-F238E27FC236}">
              <a16:creationId xmlns:a16="http://schemas.microsoft.com/office/drawing/2014/main" id="{964A7870-A97A-4CD5-B7D6-0CA11B1974DC}"/>
            </a:ext>
          </a:extLst>
        </xdr:cNvPr>
        <xdr:cNvCxnSpPr>
          <a:stCxn id="29" idx="4"/>
          <a:endCxn id="31" idx="0"/>
        </xdr:cNvCxnSpPr>
      </xdr:nvCxnSpPr>
      <xdr:spPr>
        <a:xfrm flipH="1">
          <a:off x="13502799" y="3916680"/>
          <a:ext cx="2840" cy="48924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462958</xdr:colOff>
      <xdr:row>20</xdr:row>
      <xdr:rowOff>138720</xdr:rowOff>
    </xdr:from>
    <xdr:to>
      <xdr:col>20</xdr:col>
      <xdr:colOff>604159</xdr:colOff>
      <xdr:row>25</xdr:row>
      <xdr:rowOff>38333</xdr:rowOff>
    </xdr:to>
    <xdr:sp macro="" textlink="">
      <xdr:nvSpPr>
        <xdr:cNvPr id="31" name="CuadroTexto 30">
          <a:extLst>
            <a:ext uri="{FF2B5EF4-FFF2-40B4-BE49-F238E27FC236}">
              <a16:creationId xmlns:a16="http://schemas.microsoft.com/office/drawing/2014/main" id="{DFE6DDAB-7A7C-472A-9D9E-0E369705A4F2}"/>
            </a:ext>
          </a:extLst>
        </xdr:cNvPr>
        <xdr:cNvSpPr txBox="1"/>
      </xdr:nvSpPr>
      <xdr:spPr>
        <a:xfrm>
          <a:off x="12639718" y="4405920"/>
          <a:ext cx="1726161" cy="96641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000">
              <a:latin typeface="BayWa Sans Book" panose="02010003040000000000" pitchFamily="50" charset="0"/>
            </a:rPr>
            <a:t>En la hoja "datos</a:t>
          </a:r>
          <a:r>
            <a:rPr lang="es-MX" sz="1000" baseline="0">
              <a:latin typeface="BayWa Sans Book" panose="02010003040000000000" pitchFamily="50" charset="0"/>
            </a:rPr>
            <a:t> del proyecto" realizaremos el ingreso de datos de nuestro sistema FV y la ubicación geográfica</a:t>
          </a:r>
          <a:r>
            <a:rPr lang="es-MX" sz="1000">
              <a:latin typeface="BayWa Sans Book" panose="02010003040000000000" pitchFamily="50" charset="0"/>
            </a:rPr>
            <a:t>.</a:t>
          </a:r>
        </a:p>
      </xdr:txBody>
    </xdr:sp>
    <xdr:clientData/>
  </xdr:twoCellAnchor>
  <xdr:twoCellAnchor>
    <xdr:from>
      <xdr:col>21</xdr:col>
      <xdr:colOff>0</xdr:colOff>
      <xdr:row>16</xdr:row>
      <xdr:rowOff>66718</xdr:rowOff>
    </xdr:from>
    <xdr:to>
      <xdr:col>23</xdr:col>
      <xdr:colOff>670560</xdr:colOff>
      <xdr:row>18</xdr:row>
      <xdr:rowOff>121920</xdr:rowOff>
    </xdr:to>
    <xdr:sp macro="" textlink="">
      <xdr:nvSpPr>
        <xdr:cNvPr id="37" name="Elipse 36">
          <a:extLst>
            <a:ext uri="{FF2B5EF4-FFF2-40B4-BE49-F238E27FC236}">
              <a16:creationId xmlns:a16="http://schemas.microsoft.com/office/drawing/2014/main" id="{0AD84EE2-1037-4880-A41A-B10CA6C34CA3}"/>
            </a:ext>
          </a:extLst>
        </xdr:cNvPr>
        <xdr:cNvSpPr/>
      </xdr:nvSpPr>
      <xdr:spPr>
        <a:xfrm>
          <a:off x="14554200" y="3480478"/>
          <a:ext cx="2255520" cy="481922"/>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22</xdr:col>
      <xdr:colOff>335280</xdr:colOff>
      <xdr:row>14</xdr:row>
      <xdr:rowOff>44320</xdr:rowOff>
    </xdr:from>
    <xdr:to>
      <xdr:col>22</xdr:col>
      <xdr:colOff>344479</xdr:colOff>
      <xdr:row>16</xdr:row>
      <xdr:rowOff>66718</xdr:rowOff>
    </xdr:to>
    <xdr:cxnSp macro="">
      <xdr:nvCxnSpPr>
        <xdr:cNvPr id="38" name="Conector recto de flecha 37">
          <a:extLst>
            <a:ext uri="{FF2B5EF4-FFF2-40B4-BE49-F238E27FC236}">
              <a16:creationId xmlns:a16="http://schemas.microsoft.com/office/drawing/2014/main" id="{3E590BFC-2BB4-4711-97EC-D52137207ECE}"/>
            </a:ext>
          </a:extLst>
        </xdr:cNvPr>
        <xdr:cNvCxnSpPr>
          <a:stCxn id="37" idx="0"/>
          <a:endCxn id="39" idx="2"/>
        </xdr:cNvCxnSpPr>
      </xdr:nvCxnSpPr>
      <xdr:spPr>
        <a:xfrm flipV="1">
          <a:off x="15681960" y="3031360"/>
          <a:ext cx="9199" cy="449118"/>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251018</xdr:colOff>
      <xdr:row>7</xdr:row>
      <xdr:rowOff>171227</xdr:rowOff>
    </xdr:from>
    <xdr:to>
      <xdr:col>23</xdr:col>
      <xdr:colOff>437939</xdr:colOff>
      <xdr:row>14</xdr:row>
      <xdr:rowOff>44320</xdr:rowOff>
    </xdr:to>
    <xdr:sp macro="" textlink="">
      <xdr:nvSpPr>
        <xdr:cNvPr id="39" name="CuadroTexto 38">
          <a:extLst>
            <a:ext uri="{FF2B5EF4-FFF2-40B4-BE49-F238E27FC236}">
              <a16:creationId xmlns:a16="http://schemas.microsoft.com/office/drawing/2014/main" id="{C3BA32B4-EC15-4FFD-A4FD-14254FE5B8EC}"/>
            </a:ext>
          </a:extLst>
        </xdr:cNvPr>
        <xdr:cNvSpPr txBox="1"/>
      </xdr:nvSpPr>
      <xdr:spPr>
        <a:xfrm>
          <a:off x="14805218" y="1664747"/>
          <a:ext cx="1771881" cy="136661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000">
              <a:latin typeface="BayWa Sans Book" panose="02010003040000000000" pitchFamily="50" charset="0"/>
            </a:rPr>
            <a:t>En la hoja "superficie</a:t>
          </a:r>
          <a:r>
            <a:rPr lang="es-MX" sz="1000" baseline="0">
              <a:latin typeface="BayWa Sans Book" panose="02010003040000000000" pitchFamily="50" charset="0"/>
            </a:rPr>
            <a:t> inclinada" nos arroja el  resumen del proyecto así como el despiece total para ese tipo de sistema, y los subsistemas ingresados dentro de esta solución</a:t>
          </a:r>
          <a:r>
            <a:rPr lang="es-MX" sz="1000">
              <a:latin typeface="BayWa Sans Book" panose="02010003040000000000" pitchFamily="50" charset="0"/>
            </a:rPr>
            <a:t>.</a:t>
          </a:r>
        </a:p>
      </xdr:txBody>
    </xdr:sp>
    <xdr:clientData/>
  </xdr:twoCellAnchor>
  <xdr:twoCellAnchor>
    <xdr:from>
      <xdr:col>23</xdr:col>
      <xdr:colOff>599734</xdr:colOff>
      <xdr:row>16</xdr:row>
      <xdr:rowOff>70039</xdr:rowOff>
    </xdr:from>
    <xdr:to>
      <xdr:col>26</xdr:col>
      <xdr:colOff>701040</xdr:colOff>
      <xdr:row>18</xdr:row>
      <xdr:rowOff>76200</xdr:rowOff>
    </xdr:to>
    <xdr:sp macro="" textlink="">
      <xdr:nvSpPr>
        <xdr:cNvPr id="43" name="Elipse 42">
          <a:extLst>
            <a:ext uri="{FF2B5EF4-FFF2-40B4-BE49-F238E27FC236}">
              <a16:creationId xmlns:a16="http://schemas.microsoft.com/office/drawing/2014/main" id="{A90F0F11-5B15-4680-8B10-BB0723E1A9E8}"/>
            </a:ext>
          </a:extLst>
        </xdr:cNvPr>
        <xdr:cNvSpPr/>
      </xdr:nvSpPr>
      <xdr:spPr>
        <a:xfrm>
          <a:off x="16738894" y="3483799"/>
          <a:ext cx="2478746" cy="432881"/>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24</xdr:col>
      <xdr:colOff>111814</xdr:colOff>
      <xdr:row>20</xdr:row>
      <xdr:rowOff>34765</xdr:rowOff>
    </xdr:from>
    <xdr:to>
      <xdr:col>26</xdr:col>
      <xdr:colOff>472440</xdr:colOff>
      <xdr:row>27</xdr:row>
      <xdr:rowOff>6685</xdr:rowOff>
    </xdr:to>
    <xdr:sp macro="" textlink="">
      <xdr:nvSpPr>
        <xdr:cNvPr id="44" name="CuadroTexto 43">
          <a:extLst>
            <a:ext uri="{FF2B5EF4-FFF2-40B4-BE49-F238E27FC236}">
              <a16:creationId xmlns:a16="http://schemas.microsoft.com/office/drawing/2014/main" id="{749E85B5-A626-4A7C-AA32-93BACD91B5AF}"/>
            </a:ext>
          </a:extLst>
        </xdr:cNvPr>
        <xdr:cNvSpPr txBox="1"/>
      </xdr:nvSpPr>
      <xdr:spPr>
        <a:xfrm>
          <a:off x="17043454" y="4301965"/>
          <a:ext cx="1945586" cy="146544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000">
              <a:latin typeface="BayWa Sans Book" panose="02010003040000000000" pitchFamily="50" charset="0"/>
            </a:rPr>
            <a:t>En la hoja "losa</a:t>
          </a:r>
          <a:r>
            <a:rPr lang="es-MX" sz="1000" baseline="0">
              <a:latin typeface="BayWa Sans Book" panose="02010003040000000000" pitchFamily="50" charset="0"/>
            </a:rPr>
            <a:t> plana - una fila" nos arroja el  resumen del proyecto así como el despiece total para ese tipo de sistema, y los subsistemas ingresados dentro de esta solución</a:t>
          </a:r>
          <a:r>
            <a:rPr lang="es-MX" sz="1000">
              <a:latin typeface="BayWa Sans Book" panose="02010003040000000000" pitchFamily="50" charset="0"/>
            </a:rPr>
            <a:t>.</a:t>
          </a:r>
        </a:p>
      </xdr:txBody>
    </xdr:sp>
    <xdr:clientData/>
  </xdr:twoCellAnchor>
  <xdr:twoCellAnchor>
    <xdr:from>
      <xdr:col>25</xdr:col>
      <xdr:colOff>254147</xdr:colOff>
      <xdr:row>18</xdr:row>
      <xdr:rowOff>76200</xdr:rowOff>
    </xdr:from>
    <xdr:to>
      <xdr:col>25</xdr:col>
      <xdr:colOff>292127</xdr:colOff>
      <xdr:row>20</xdr:row>
      <xdr:rowOff>34765</xdr:rowOff>
    </xdr:to>
    <xdr:cxnSp macro="">
      <xdr:nvCxnSpPr>
        <xdr:cNvPr id="45" name="Conector recto de flecha 44">
          <a:extLst>
            <a:ext uri="{FF2B5EF4-FFF2-40B4-BE49-F238E27FC236}">
              <a16:creationId xmlns:a16="http://schemas.microsoft.com/office/drawing/2014/main" id="{9BFE6A39-3C5F-4303-81C4-2FF1AB459152}"/>
            </a:ext>
          </a:extLst>
        </xdr:cNvPr>
        <xdr:cNvCxnSpPr>
          <a:stCxn id="43" idx="4"/>
          <a:endCxn id="44" idx="0"/>
        </xdr:cNvCxnSpPr>
      </xdr:nvCxnSpPr>
      <xdr:spPr>
        <a:xfrm>
          <a:off x="17978267" y="3916680"/>
          <a:ext cx="37980" cy="38528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610142</xdr:colOff>
      <xdr:row>39</xdr:row>
      <xdr:rowOff>91440</xdr:rowOff>
    </xdr:from>
    <xdr:to>
      <xdr:col>19</xdr:col>
      <xdr:colOff>396240</xdr:colOff>
      <xdr:row>41</xdr:row>
      <xdr:rowOff>152400</xdr:rowOff>
    </xdr:to>
    <xdr:sp macro="" textlink="">
      <xdr:nvSpPr>
        <xdr:cNvPr id="58" name="Elipse 57">
          <a:extLst>
            <a:ext uri="{FF2B5EF4-FFF2-40B4-BE49-F238E27FC236}">
              <a16:creationId xmlns:a16="http://schemas.microsoft.com/office/drawing/2014/main" id="{52357F26-1F48-4C33-91B5-93F74FE56F5B}"/>
            </a:ext>
          </a:extLst>
        </xdr:cNvPr>
        <xdr:cNvSpPr/>
      </xdr:nvSpPr>
      <xdr:spPr>
        <a:xfrm>
          <a:off x="10912382" y="8412480"/>
          <a:ext cx="2453098" cy="48768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19</xdr:col>
      <xdr:colOff>411480</xdr:colOff>
      <xdr:row>39</xdr:row>
      <xdr:rowOff>76200</xdr:rowOff>
    </xdr:from>
    <xdr:to>
      <xdr:col>22</xdr:col>
      <xdr:colOff>137160</xdr:colOff>
      <xdr:row>41</xdr:row>
      <xdr:rowOff>152400</xdr:rowOff>
    </xdr:to>
    <xdr:sp macro="" textlink="">
      <xdr:nvSpPr>
        <xdr:cNvPr id="60" name="Elipse 59">
          <a:extLst>
            <a:ext uri="{FF2B5EF4-FFF2-40B4-BE49-F238E27FC236}">
              <a16:creationId xmlns:a16="http://schemas.microsoft.com/office/drawing/2014/main" id="{E21A6F30-42A8-4DA9-ADC6-924919E25539}"/>
            </a:ext>
          </a:extLst>
        </xdr:cNvPr>
        <xdr:cNvSpPr/>
      </xdr:nvSpPr>
      <xdr:spPr>
        <a:xfrm>
          <a:off x="13380720" y="8397240"/>
          <a:ext cx="2103120" cy="50292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22</xdr:col>
      <xdr:colOff>140302</xdr:colOff>
      <xdr:row>39</xdr:row>
      <xdr:rowOff>91440</xdr:rowOff>
    </xdr:from>
    <xdr:to>
      <xdr:col>24</xdr:col>
      <xdr:colOff>228599</xdr:colOff>
      <xdr:row>41</xdr:row>
      <xdr:rowOff>182880</xdr:rowOff>
    </xdr:to>
    <xdr:sp macro="" textlink="">
      <xdr:nvSpPr>
        <xdr:cNvPr id="61" name="Elipse 60">
          <a:extLst>
            <a:ext uri="{FF2B5EF4-FFF2-40B4-BE49-F238E27FC236}">
              <a16:creationId xmlns:a16="http://schemas.microsoft.com/office/drawing/2014/main" id="{6CF32BA2-204D-4E76-9ED1-39FE55C7DFFE}"/>
            </a:ext>
          </a:extLst>
        </xdr:cNvPr>
        <xdr:cNvSpPr/>
      </xdr:nvSpPr>
      <xdr:spPr>
        <a:xfrm>
          <a:off x="15486982" y="8412480"/>
          <a:ext cx="1673257" cy="51816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17</xdr:col>
      <xdr:colOff>663211</xdr:colOff>
      <xdr:row>41</xdr:row>
      <xdr:rowOff>152400</xdr:rowOff>
    </xdr:from>
    <xdr:to>
      <xdr:col>17</xdr:col>
      <xdr:colOff>675754</xdr:colOff>
      <xdr:row>43</xdr:row>
      <xdr:rowOff>176158</xdr:rowOff>
    </xdr:to>
    <xdr:cxnSp macro="">
      <xdr:nvCxnSpPr>
        <xdr:cNvPr id="63" name="Conector recto de flecha 62">
          <a:extLst>
            <a:ext uri="{FF2B5EF4-FFF2-40B4-BE49-F238E27FC236}">
              <a16:creationId xmlns:a16="http://schemas.microsoft.com/office/drawing/2014/main" id="{CF71FC73-25E9-45A2-857E-4D18CE8D8795}"/>
            </a:ext>
          </a:extLst>
        </xdr:cNvPr>
        <xdr:cNvCxnSpPr>
          <a:stCxn id="58" idx="4"/>
          <a:endCxn id="65" idx="0"/>
        </xdr:cNvCxnSpPr>
      </xdr:nvCxnSpPr>
      <xdr:spPr>
        <a:xfrm>
          <a:off x="12138931" y="8900160"/>
          <a:ext cx="12543" cy="450478"/>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299947</xdr:colOff>
      <xdr:row>43</xdr:row>
      <xdr:rowOff>176158</xdr:rowOff>
    </xdr:from>
    <xdr:to>
      <xdr:col>19</xdr:col>
      <xdr:colOff>45720</xdr:colOff>
      <xdr:row>50</xdr:row>
      <xdr:rowOff>152767</xdr:rowOff>
    </xdr:to>
    <xdr:sp macro="" textlink="">
      <xdr:nvSpPr>
        <xdr:cNvPr id="65" name="CuadroTexto 64">
          <a:extLst>
            <a:ext uri="{FF2B5EF4-FFF2-40B4-BE49-F238E27FC236}">
              <a16:creationId xmlns:a16="http://schemas.microsoft.com/office/drawing/2014/main" id="{C5A4B6E5-E897-44E6-BAF3-F0ADA694E7DC}"/>
            </a:ext>
          </a:extLst>
        </xdr:cNvPr>
        <xdr:cNvSpPr txBox="1"/>
      </xdr:nvSpPr>
      <xdr:spPr>
        <a:xfrm>
          <a:off x="11287987" y="9350638"/>
          <a:ext cx="1726973" cy="147012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100">
              <a:solidFill>
                <a:schemeClr val="dk1"/>
              </a:solidFill>
              <a:effectLst/>
              <a:latin typeface="+mn-lt"/>
              <a:ea typeface="+mn-ea"/>
              <a:cs typeface="+mn-cs"/>
            </a:rPr>
            <a:t>En la hoja "losa</a:t>
          </a:r>
          <a:r>
            <a:rPr lang="es-MX" sz="1100" baseline="0">
              <a:solidFill>
                <a:schemeClr val="dk1"/>
              </a:solidFill>
              <a:effectLst/>
              <a:latin typeface="+mn-lt"/>
              <a:ea typeface="+mn-ea"/>
              <a:cs typeface="+mn-cs"/>
            </a:rPr>
            <a:t> plana - dos fila" nos arroja el  resumen del proyecto así como el despiece total para ese tipo de sistema, y los subsistemas ingresados dentro de esta solución</a:t>
          </a:r>
          <a:r>
            <a:rPr lang="es-MX" sz="1100">
              <a:solidFill>
                <a:schemeClr val="dk1"/>
              </a:solidFill>
              <a:effectLst/>
              <a:latin typeface="+mn-lt"/>
              <a:ea typeface="+mn-ea"/>
              <a:cs typeface="+mn-cs"/>
            </a:rPr>
            <a:t>.</a:t>
          </a:r>
          <a:endParaRPr lang="es-MX" sz="1000">
            <a:effectLst/>
          </a:endParaRPr>
        </a:p>
      </xdr:txBody>
    </xdr:sp>
    <xdr:clientData/>
  </xdr:twoCellAnchor>
  <xdr:twoCellAnchor>
    <xdr:from>
      <xdr:col>19</xdr:col>
      <xdr:colOff>582057</xdr:colOff>
      <xdr:row>31</xdr:row>
      <xdr:rowOff>128908</xdr:rowOff>
    </xdr:from>
    <xdr:to>
      <xdr:col>21</xdr:col>
      <xdr:colOff>769518</xdr:colOff>
      <xdr:row>38</xdr:row>
      <xdr:rowOff>1906</xdr:rowOff>
    </xdr:to>
    <xdr:sp macro="" textlink="">
      <xdr:nvSpPr>
        <xdr:cNvPr id="77" name="CuadroTexto 76">
          <a:extLst>
            <a:ext uri="{FF2B5EF4-FFF2-40B4-BE49-F238E27FC236}">
              <a16:creationId xmlns:a16="http://schemas.microsoft.com/office/drawing/2014/main" id="{467CDD04-D5AC-43AE-8021-C4E5DA2252D5}"/>
            </a:ext>
          </a:extLst>
        </xdr:cNvPr>
        <xdr:cNvSpPr txBox="1"/>
      </xdr:nvSpPr>
      <xdr:spPr>
        <a:xfrm>
          <a:off x="13551297" y="6743068"/>
          <a:ext cx="1772421" cy="136651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000">
              <a:latin typeface="BayWa Sans Book" panose="02010003040000000000" pitchFamily="50" charset="0"/>
            </a:rPr>
            <a:t>En la hoja "lamina</a:t>
          </a:r>
          <a:r>
            <a:rPr lang="es-MX" sz="1000" baseline="0">
              <a:latin typeface="BayWa Sans Book" panose="02010003040000000000" pitchFamily="50" charset="0"/>
            </a:rPr>
            <a:t> trapezoidal" nos arroja el  resumen del proyecto así como el despiece total para ese tipo de sistema, y los subsistemas ingresados dentro de esta solución</a:t>
          </a:r>
          <a:r>
            <a:rPr lang="es-MX" sz="1000">
              <a:latin typeface="BayWa Sans Book" panose="02010003040000000000" pitchFamily="50" charset="0"/>
            </a:rPr>
            <a:t>.</a:t>
          </a:r>
        </a:p>
      </xdr:txBody>
    </xdr:sp>
    <xdr:clientData/>
  </xdr:twoCellAnchor>
  <xdr:twoCellAnchor>
    <xdr:from>
      <xdr:col>20</xdr:col>
      <xdr:colOff>670560</xdr:colOff>
      <xdr:row>38</xdr:row>
      <xdr:rowOff>1906</xdr:rowOff>
    </xdr:from>
    <xdr:to>
      <xdr:col>20</xdr:col>
      <xdr:colOff>675788</xdr:colOff>
      <xdr:row>39</xdr:row>
      <xdr:rowOff>76200</xdr:rowOff>
    </xdr:to>
    <xdr:cxnSp macro="">
      <xdr:nvCxnSpPr>
        <xdr:cNvPr id="78" name="Conector recto de flecha 77">
          <a:extLst>
            <a:ext uri="{FF2B5EF4-FFF2-40B4-BE49-F238E27FC236}">
              <a16:creationId xmlns:a16="http://schemas.microsoft.com/office/drawing/2014/main" id="{22AEC34F-201F-44F9-B90E-D7A16730F8A8}"/>
            </a:ext>
          </a:extLst>
        </xdr:cNvPr>
        <xdr:cNvCxnSpPr>
          <a:stCxn id="60" idx="0"/>
          <a:endCxn id="77" idx="2"/>
        </xdr:cNvCxnSpPr>
      </xdr:nvCxnSpPr>
      <xdr:spPr>
        <a:xfrm flipV="1">
          <a:off x="14432280" y="8109586"/>
          <a:ext cx="5228" cy="287654"/>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184451</xdr:colOff>
      <xdr:row>41</xdr:row>
      <xdr:rowOff>182880</xdr:rowOff>
    </xdr:from>
    <xdr:to>
      <xdr:col>23</xdr:col>
      <xdr:colOff>199007</xdr:colOff>
      <xdr:row>43</xdr:row>
      <xdr:rowOff>72349</xdr:rowOff>
    </xdr:to>
    <xdr:cxnSp macro="">
      <xdr:nvCxnSpPr>
        <xdr:cNvPr id="82" name="Conector recto de flecha 81">
          <a:extLst>
            <a:ext uri="{FF2B5EF4-FFF2-40B4-BE49-F238E27FC236}">
              <a16:creationId xmlns:a16="http://schemas.microsoft.com/office/drawing/2014/main" id="{F6C973F8-9F0F-46C5-88DC-CC2595CEEDCF}"/>
            </a:ext>
          </a:extLst>
        </xdr:cNvPr>
        <xdr:cNvCxnSpPr>
          <a:stCxn id="61" idx="4"/>
          <a:endCxn id="83" idx="0"/>
        </xdr:cNvCxnSpPr>
      </xdr:nvCxnSpPr>
      <xdr:spPr>
        <a:xfrm>
          <a:off x="16323611" y="8930640"/>
          <a:ext cx="14556" cy="316189"/>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105276</xdr:colOff>
      <xdr:row>43</xdr:row>
      <xdr:rowOff>72349</xdr:rowOff>
    </xdr:from>
    <xdr:to>
      <xdr:col>24</xdr:col>
      <xdr:colOff>292737</xdr:colOff>
      <xdr:row>50</xdr:row>
      <xdr:rowOff>150609</xdr:rowOff>
    </xdr:to>
    <xdr:sp macro="" textlink="">
      <xdr:nvSpPr>
        <xdr:cNvPr id="83" name="CuadroTexto 82">
          <a:extLst>
            <a:ext uri="{FF2B5EF4-FFF2-40B4-BE49-F238E27FC236}">
              <a16:creationId xmlns:a16="http://schemas.microsoft.com/office/drawing/2014/main" id="{E5F80D42-EE39-4BF5-932B-EE3D477C83F8}"/>
            </a:ext>
          </a:extLst>
        </xdr:cNvPr>
        <xdr:cNvSpPr txBox="1"/>
      </xdr:nvSpPr>
      <xdr:spPr>
        <a:xfrm>
          <a:off x="15451956" y="9246829"/>
          <a:ext cx="1772421" cy="157178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000">
              <a:latin typeface="BayWa Sans Book" panose="02010003040000000000" pitchFamily="50" charset="0"/>
            </a:rPr>
            <a:t>Dentro</a:t>
          </a:r>
          <a:r>
            <a:rPr lang="es-MX" sz="1000" baseline="0">
              <a:latin typeface="BayWa Sans Book" panose="02010003040000000000" pitchFamily="50" charset="0"/>
            </a:rPr>
            <a:t> de esta hoja encontraremos la sumatoria de cada uno de los despieces ingresados en la herramienta, por lo que tendremos el BOM total de todos los proyectos y tipos de planchas ingresados.</a:t>
          </a:r>
          <a:endParaRPr lang="es-MX" sz="1000">
            <a:latin typeface="BayWa Sans Book" panose="02010003040000000000" pitchFamily="50" charset="0"/>
          </a:endParaRPr>
        </a:p>
      </xdr:txBody>
    </xdr:sp>
    <xdr:clientData/>
  </xdr:twoCellAnchor>
  <xdr:twoCellAnchor editAs="oneCell">
    <xdr:from>
      <xdr:col>4</xdr:col>
      <xdr:colOff>10583</xdr:colOff>
      <xdr:row>146</xdr:row>
      <xdr:rowOff>154789</xdr:rowOff>
    </xdr:from>
    <xdr:to>
      <xdr:col>8</xdr:col>
      <xdr:colOff>734290</xdr:colOff>
      <xdr:row>152</xdr:row>
      <xdr:rowOff>92676</xdr:rowOff>
    </xdr:to>
    <xdr:pic>
      <xdr:nvPicPr>
        <xdr:cNvPr id="81" name="Imagen 80">
          <a:extLst>
            <a:ext uri="{FF2B5EF4-FFF2-40B4-BE49-F238E27FC236}">
              <a16:creationId xmlns:a16="http://schemas.microsoft.com/office/drawing/2014/main" id="{73D05464-75B4-4A24-979A-185022CC7C93}"/>
            </a:ext>
          </a:extLst>
        </xdr:cNvPr>
        <xdr:cNvPicPr>
          <a:picLocks noChangeAspect="1"/>
        </xdr:cNvPicPr>
      </xdr:nvPicPr>
      <xdr:blipFill>
        <a:blip xmlns:r="http://schemas.openxmlformats.org/officeDocument/2006/relationships" r:embed="rId5"/>
        <a:stretch>
          <a:fillRect/>
        </a:stretch>
      </xdr:blipFill>
      <xdr:spPr>
        <a:xfrm>
          <a:off x="1439333" y="34656456"/>
          <a:ext cx="4012372" cy="1207886"/>
        </a:xfrm>
        <a:prstGeom prst="rect">
          <a:avLst/>
        </a:prstGeom>
      </xdr:spPr>
    </xdr:pic>
    <xdr:clientData/>
  </xdr:twoCellAnchor>
  <xdr:twoCellAnchor>
    <xdr:from>
      <xdr:col>4</xdr:col>
      <xdr:colOff>41790</xdr:colOff>
      <xdr:row>132</xdr:row>
      <xdr:rowOff>105834</xdr:rowOff>
    </xdr:from>
    <xdr:to>
      <xdr:col>13</xdr:col>
      <xdr:colOff>537650</xdr:colOff>
      <xdr:row>146</xdr:row>
      <xdr:rowOff>9662</xdr:rowOff>
    </xdr:to>
    <xdr:sp macro="" textlink="">
      <xdr:nvSpPr>
        <xdr:cNvPr id="84" name="CuadroTexto 83">
          <a:hlinkClick xmlns:r="http://schemas.openxmlformats.org/officeDocument/2006/relationships" r:id="rId6"/>
          <a:extLst>
            <a:ext uri="{FF2B5EF4-FFF2-40B4-BE49-F238E27FC236}">
              <a16:creationId xmlns:a16="http://schemas.microsoft.com/office/drawing/2014/main" id="{7184E194-3050-4B6E-A357-E985141168A0}"/>
            </a:ext>
          </a:extLst>
        </xdr:cNvPr>
        <xdr:cNvSpPr txBox="1"/>
      </xdr:nvSpPr>
      <xdr:spPr>
        <a:xfrm>
          <a:off x="1470540" y="31644167"/>
          <a:ext cx="5829860" cy="2867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rgbClr val="92D050"/>
              </a:solidFill>
              <a:effectLst/>
              <a:latin typeface="BayWa Sans Book" panose="02010003040000000000" pitchFamily="50" charset="0"/>
              <a:ea typeface="+mn-ea"/>
              <a:cs typeface="+mn-cs"/>
            </a:rPr>
            <a:t>Términos y Condiciones de Uso</a:t>
          </a:r>
        </a:p>
        <a:p>
          <a:pPr algn="ctr"/>
          <a:endParaRPr lang="es-MX" sz="1100" b="1">
            <a:solidFill>
              <a:srgbClr val="92D050"/>
            </a:solidFill>
            <a:effectLst/>
            <a:latin typeface="BayWa Sans Book" panose="02010003040000000000" pitchFamily="50" charset="0"/>
            <a:ea typeface="+mn-ea"/>
            <a:cs typeface="+mn-cs"/>
          </a:endParaRPr>
        </a:p>
        <a:p>
          <a:pPr algn="l"/>
          <a:r>
            <a:rPr lang="es-MX" sz="1100" b="0">
              <a:solidFill>
                <a:sysClr val="windowText" lastClr="000000"/>
              </a:solidFill>
              <a:effectLst/>
              <a:latin typeface="BayWa Sans Book" panose="02010003040000000000" pitchFamily="50" charset="0"/>
              <a:ea typeface="+mn-ea"/>
              <a:cs typeface="+mn-cs"/>
            </a:rPr>
            <a:t>La plantilla novotegra sizing tool está diseñada únicamente como un apoyo en el dimensionamiento del sistema de montaje para proyectos fotovoltaicos. Todos los resultados obtenidos de esta plantilla deberán de ser validados de acuerdo con el proyecto en cuestión.</a:t>
          </a:r>
        </a:p>
        <a:p>
          <a:pPr algn="l"/>
          <a:r>
            <a:rPr lang="es-MX" sz="1100" b="0">
              <a:solidFill>
                <a:sysClr val="windowText" lastClr="000000"/>
              </a:solidFill>
              <a:effectLst/>
              <a:latin typeface="BayWa Sans Book" panose="02010003040000000000" pitchFamily="50" charset="0"/>
              <a:ea typeface="+mn-ea"/>
              <a:cs typeface="+mn-cs"/>
            </a:rPr>
            <a:t>Es responsabilidad del usuario de esta plantilla verificar que:</a:t>
          </a:r>
        </a:p>
        <a:p>
          <a:pPr algn="l"/>
          <a:r>
            <a:rPr lang="es-MX" sz="1100" b="0">
              <a:solidFill>
                <a:sysClr val="windowText" lastClr="000000"/>
              </a:solidFill>
              <a:effectLst/>
              <a:latin typeface="BayWa Sans Book" panose="02010003040000000000" pitchFamily="50" charset="0"/>
              <a:ea typeface="+mn-ea"/>
              <a:cs typeface="+mn-cs"/>
            </a:rPr>
            <a:t>El sistema de montaje cumple con todos los reglamentos y leyes aplicables al lugar de instalación.</a:t>
          </a:r>
        </a:p>
        <a:p>
          <a:pPr algn="l"/>
          <a:r>
            <a:rPr lang="es-MX" sz="1100" b="0">
              <a:solidFill>
                <a:sysClr val="windowText" lastClr="000000"/>
              </a:solidFill>
              <a:effectLst/>
              <a:latin typeface="BayWa Sans Book" panose="02010003040000000000" pitchFamily="50" charset="0"/>
              <a:ea typeface="+mn-ea"/>
              <a:cs typeface="+mn-cs"/>
            </a:rPr>
            <a:t>El techo o estructura cuenta con la capacidad de soportar las cargas del sistema de montaje.</a:t>
          </a:r>
        </a:p>
        <a:p>
          <a:pPr algn="l"/>
          <a:r>
            <a:rPr lang="es-MX" sz="1100" b="0">
              <a:solidFill>
                <a:sysClr val="windowText" lastClr="000000"/>
              </a:solidFill>
              <a:effectLst/>
              <a:latin typeface="BayWa Sans Book" panose="02010003040000000000" pitchFamily="50" charset="0"/>
              <a:ea typeface="+mn-ea"/>
              <a:cs typeface="+mn-cs"/>
            </a:rPr>
            <a:t>Los datos e información ingresados en esta plantilla son correctos bajo su entera responsabilidad.</a:t>
          </a:r>
        </a:p>
        <a:p>
          <a:pPr algn="l"/>
          <a:r>
            <a:rPr lang="es-MX" sz="1100" b="0">
              <a:solidFill>
                <a:sysClr val="windowText" lastClr="000000"/>
              </a:solidFill>
              <a:effectLst/>
              <a:latin typeface="BayWa Sans Book" panose="02010003040000000000" pitchFamily="50" charset="0"/>
              <a:ea typeface="+mn-ea"/>
              <a:cs typeface="+mn-cs"/>
            </a:rPr>
            <a:t>BayWa S de RL de CV y Novotegra renuncian a cualquier garantía, expresa o implícita que no este de acuerdo con los términos y condiciones de garantía de producto disponibles en el sitio web: www.novotegra.mx</a:t>
          </a:r>
        </a:p>
      </xdr:txBody>
    </xdr:sp>
    <xdr:clientData/>
  </xdr:twoCellAnchor>
  <xdr:twoCellAnchor editAs="oneCell">
    <xdr:from>
      <xdr:col>6</xdr:col>
      <xdr:colOff>121920</xdr:colOff>
      <xdr:row>124</xdr:row>
      <xdr:rowOff>175468</xdr:rowOff>
    </xdr:from>
    <xdr:to>
      <xdr:col>9</xdr:col>
      <xdr:colOff>755015</xdr:colOff>
      <xdr:row>124</xdr:row>
      <xdr:rowOff>1552863</xdr:rowOff>
    </xdr:to>
    <xdr:pic>
      <xdr:nvPicPr>
        <xdr:cNvPr id="11" name="Imagen 10" descr="Lámina R-101 - Ternium Techos - Lámina Acanalada de Acero - Aceromart">
          <a:extLst>
            <a:ext uri="{FF2B5EF4-FFF2-40B4-BE49-F238E27FC236}">
              <a16:creationId xmlns:a16="http://schemas.microsoft.com/office/drawing/2014/main" id="{F260191B-89C7-42F8-347A-C39AC4B18DD2}"/>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6501" t="18492" r="4335" b="29045"/>
        <a:stretch/>
      </xdr:blipFill>
      <xdr:spPr bwMode="auto">
        <a:xfrm>
          <a:off x="3474720" y="28979068"/>
          <a:ext cx="3032760" cy="1374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60959</xdr:colOff>
      <xdr:row>125</xdr:row>
      <xdr:rowOff>209957</xdr:rowOff>
    </xdr:from>
    <xdr:to>
      <xdr:col>10</xdr:col>
      <xdr:colOff>2425</xdr:colOff>
      <xdr:row>125</xdr:row>
      <xdr:rowOff>1626236</xdr:rowOff>
    </xdr:to>
    <xdr:pic>
      <xdr:nvPicPr>
        <xdr:cNvPr id="13" name="Imagen 12" descr="Lámina TO-100 Ternium Techos - Lámina Ondulada - Aceromart">
          <a:extLst>
            <a:ext uri="{FF2B5EF4-FFF2-40B4-BE49-F238E27FC236}">
              <a16:creationId xmlns:a16="http://schemas.microsoft.com/office/drawing/2014/main" id="{3CC9DF00-961D-1B6D-8BB1-0C80AE13C26A}"/>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6192" t="25563" r="4644" b="30754"/>
        <a:stretch/>
      </xdr:blipFill>
      <xdr:spPr bwMode="auto">
        <a:xfrm>
          <a:off x="3413759" y="30689957"/>
          <a:ext cx="3108961" cy="1413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xdr:colOff>
      <xdr:row>126</xdr:row>
      <xdr:rowOff>45720</xdr:rowOff>
    </xdr:from>
    <xdr:to>
      <xdr:col>9</xdr:col>
      <xdr:colOff>153683</xdr:colOff>
      <xdr:row>126</xdr:row>
      <xdr:rowOff>1590545</xdr:rowOff>
    </xdr:to>
    <xdr:pic>
      <xdr:nvPicPr>
        <xdr:cNvPr id="16" name="Imagen 15" descr="Lámina KR-18 – Ternium Techos Engargolados - Aceromart">
          <a:extLst>
            <a:ext uri="{FF2B5EF4-FFF2-40B4-BE49-F238E27FC236}">
              <a16:creationId xmlns:a16="http://schemas.microsoft.com/office/drawing/2014/main" id="{3C061F64-0103-5258-D70F-6A7EEE963CF9}"/>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5171" t="8845" r="14242" b="9548"/>
        <a:stretch/>
      </xdr:blipFill>
      <xdr:spPr bwMode="auto">
        <a:xfrm>
          <a:off x="4145282" y="32202120"/>
          <a:ext cx="1738641" cy="15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20320</xdr:colOff>
      <xdr:row>124</xdr:row>
      <xdr:rowOff>21407</xdr:rowOff>
    </xdr:from>
    <xdr:to>
      <xdr:col>17</xdr:col>
      <xdr:colOff>645160</xdr:colOff>
      <xdr:row>124</xdr:row>
      <xdr:rowOff>1645284</xdr:rowOff>
    </xdr:to>
    <xdr:pic>
      <xdr:nvPicPr>
        <xdr:cNvPr id="32" name="Imagen 31" descr="S-5! ProteaBracket | Northern Arizona Wind &amp; Sun">
          <a:extLst>
            <a:ext uri="{FF2B5EF4-FFF2-40B4-BE49-F238E27FC236}">
              <a16:creationId xmlns:a16="http://schemas.microsoft.com/office/drawing/2014/main" id="{3FE5019C-9A48-2B91-DD5C-AADB8EA3ED3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243820" y="30780807"/>
          <a:ext cx="1780540" cy="16270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30480</xdr:colOff>
      <xdr:row>125</xdr:row>
      <xdr:rowOff>30481</xdr:rowOff>
    </xdr:from>
    <xdr:to>
      <xdr:col>18</xdr:col>
      <xdr:colOff>1567</xdr:colOff>
      <xdr:row>126</xdr:row>
      <xdr:rowOff>1376</xdr:rowOff>
    </xdr:to>
    <xdr:pic>
      <xdr:nvPicPr>
        <xdr:cNvPr id="34" name="Imagen 33" descr="S-5 CorruBracket 500T - Metal Roof Safety Brackets">
          <a:extLst>
            <a:ext uri="{FF2B5EF4-FFF2-40B4-BE49-F238E27FC236}">
              <a16:creationId xmlns:a16="http://schemas.microsoft.com/office/drawing/2014/main" id="{FE96B0C9-661E-A1B1-9103-3E2AE71C83FA}"/>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b="7810"/>
        <a:stretch/>
      </xdr:blipFill>
      <xdr:spPr bwMode="auto">
        <a:xfrm>
          <a:off x="10271760" y="30510481"/>
          <a:ext cx="1828800" cy="1631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259080</xdr:colOff>
      <xdr:row>123</xdr:row>
      <xdr:rowOff>15240</xdr:rowOff>
    </xdr:from>
    <xdr:to>
      <xdr:col>9</xdr:col>
      <xdr:colOff>482737</xdr:colOff>
      <xdr:row>123</xdr:row>
      <xdr:rowOff>1649095</xdr:rowOff>
    </xdr:to>
    <xdr:pic>
      <xdr:nvPicPr>
        <xdr:cNvPr id="110" name="Imagen 109" descr="Techo inclinado">
          <a:extLst>
            <a:ext uri="{FF2B5EF4-FFF2-40B4-BE49-F238E27FC236}">
              <a16:creationId xmlns:a16="http://schemas.microsoft.com/office/drawing/2014/main" id="{0A3640BB-B2ED-AADC-5543-5ACD7CEF48B2}"/>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611880" y="30495240"/>
          <a:ext cx="2604272" cy="1630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60960</xdr:colOff>
      <xdr:row>122</xdr:row>
      <xdr:rowOff>46943</xdr:rowOff>
    </xdr:from>
    <xdr:to>
      <xdr:col>10</xdr:col>
      <xdr:colOff>2425</xdr:colOff>
      <xdr:row>122</xdr:row>
      <xdr:rowOff>1639125</xdr:rowOff>
    </xdr:to>
    <xdr:pic>
      <xdr:nvPicPr>
        <xdr:cNvPr id="112" name="Imagen 111" descr="Impermeabilización de Azoteas o techos de Concreto – Abinco">
          <a:extLst>
            <a:ext uri="{FF2B5EF4-FFF2-40B4-BE49-F238E27FC236}">
              <a16:creationId xmlns:a16="http://schemas.microsoft.com/office/drawing/2014/main" id="{84D9D0FB-AC31-49E2-4F8E-013AB2E4FF3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413760" y="28850543"/>
          <a:ext cx="3078480" cy="1592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241300</xdr:colOff>
      <xdr:row>127</xdr:row>
      <xdr:rowOff>38100</xdr:rowOff>
    </xdr:from>
    <xdr:to>
      <xdr:col>9</xdr:col>
      <xdr:colOff>324814</xdr:colOff>
      <xdr:row>127</xdr:row>
      <xdr:rowOff>1638300</xdr:rowOff>
    </xdr:to>
    <xdr:pic>
      <xdr:nvPicPr>
        <xdr:cNvPr id="20" name="Imagen 19" descr="TPO-roofing-system-mechanically-attached-smooth-render - Herman's Supply  Company">
          <a:extLst>
            <a:ext uri="{FF2B5EF4-FFF2-40B4-BE49-F238E27FC236}">
              <a16:creationId xmlns:a16="http://schemas.microsoft.com/office/drawing/2014/main" id="{14C8505A-0BA2-E36F-7149-DFCD95D5B8FD}"/>
            </a:ext>
          </a:extLst>
        </xdr:cNvPr>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t="6268" b="5989"/>
        <a:stretch/>
      </xdr:blipFill>
      <xdr:spPr bwMode="auto">
        <a:xfrm>
          <a:off x="3556000" y="35788600"/>
          <a:ext cx="2445714"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426719</xdr:colOff>
      <xdr:row>112</xdr:row>
      <xdr:rowOff>137160</xdr:rowOff>
    </xdr:from>
    <xdr:to>
      <xdr:col>21</xdr:col>
      <xdr:colOff>469863</xdr:colOff>
      <xdr:row>117</xdr:row>
      <xdr:rowOff>5169535</xdr:rowOff>
    </xdr:to>
    <xdr:pic>
      <xdr:nvPicPr>
        <xdr:cNvPr id="2" name="Imagen 1">
          <a:extLst>
            <a:ext uri="{FF2B5EF4-FFF2-40B4-BE49-F238E27FC236}">
              <a16:creationId xmlns:a16="http://schemas.microsoft.com/office/drawing/2014/main" id="{40150454-05BE-3582-F86F-DB3BAAE77372}"/>
            </a:ext>
          </a:extLst>
        </xdr:cNvPr>
        <xdr:cNvPicPr>
          <a:picLocks noChangeAspect="1"/>
        </xdr:cNvPicPr>
      </xdr:nvPicPr>
      <xdr:blipFill>
        <a:blip xmlns:r="http://schemas.openxmlformats.org/officeDocument/2006/relationships" r:embed="rId15"/>
        <a:stretch>
          <a:fillRect/>
        </a:stretch>
      </xdr:blipFill>
      <xdr:spPr>
        <a:xfrm>
          <a:off x="1463039" y="24033480"/>
          <a:ext cx="13557849" cy="6096000"/>
        </a:xfrm>
        <a:prstGeom prst="rect">
          <a:avLst/>
        </a:prstGeom>
      </xdr:spPr>
    </xdr:pic>
    <xdr:clientData/>
  </xdr:twoCellAnchor>
  <xdr:twoCellAnchor editAs="oneCell">
    <xdr:from>
      <xdr:col>3</xdr:col>
      <xdr:colOff>195384</xdr:colOff>
      <xdr:row>33</xdr:row>
      <xdr:rowOff>70308</xdr:rowOff>
    </xdr:from>
    <xdr:to>
      <xdr:col>12</xdr:col>
      <xdr:colOff>464038</xdr:colOff>
      <xdr:row>52</xdr:row>
      <xdr:rowOff>69921</xdr:rowOff>
    </xdr:to>
    <xdr:pic>
      <xdr:nvPicPr>
        <xdr:cNvPr id="7" name="Imagen 6">
          <a:extLst>
            <a:ext uri="{FF2B5EF4-FFF2-40B4-BE49-F238E27FC236}">
              <a16:creationId xmlns:a16="http://schemas.microsoft.com/office/drawing/2014/main" id="{47AF30E8-9AEF-A26E-C114-3C1DA7EDE125}"/>
            </a:ext>
          </a:extLst>
        </xdr:cNvPr>
        <xdr:cNvPicPr>
          <a:picLocks noChangeAspect="1"/>
        </xdr:cNvPicPr>
      </xdr:nvPicPr>
      <xdr:blipFill>
        <a:blip xmlns:r="http://schemas.openxmlformats.org/officeDocument/2006/relationships" r:embed="rId16"/>
        <a:stretch>
          <a:fillRect/>
        </a:stretch>
      </xdr:blipFill>
      <xdr:spPr>
        <a:xfrm>
          <a:off x="1245576" y="6920981"/>
          <a:ext cx="7412404" cy="3943940"/>
        </a:xfrm>
        <a:prstGeom prst="rect">
          <a:avLst/>
        </a:prstGeom>
      </xdr:spPr>
    </xdr:pic>
    <xdr:clientData/>
  </xdr:twoCellAnchor>
  <xdr:twoCellAnchor>
    <xdr:from>
      <xdr:col>11</xdr:col>
      <xdr:colOff>724389</xdr:colOff>
      <xdr:row>48</xdr:row>
      <xdr:rowOff>52462</xdr:rowOff>
    </xdr:from>
    <xdr:to>
      <xdr:col>11</xdr:col>
      <xdr:colOff>735501</xdr:colOff>
      <xdr:row>51</xdr:row>
      <xdr:rowOff>27061</xdr:rowOff>
    </xdr:to>
    <xdr:cxnSp macro="">
      <xdr:nvCxnSpPr>
        <xdr:cNvPr id="12" name="Conector recto de flecha 11">
          <a:extLst>
            <a:ext uri="{FF2B5EF4-FFF2-40B4-BE49-F238E27FC236}">
              <a16:creationId xmlns:a16="http://schemas.microsoft.com/office/drawing/2014/main" id="{508D382D-6A78-456D-88F2-04AFF76B945C}"/>
            </a:ext>
          </a:extLst>
        </xdr:cNvPr>
        <xdr:cNvCxnSpPr/>
      </xdr:nvCxnSpPr>
      <xdr:spPr>
        <a:xfrm flipV="1">
          <a:off x="8136793" y="10017077"/>
          <a:ext cx="11112" cy="597388"/>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154158</xdr:colOff>
      <xdr:row>46</xdr:row>
      <xdr:rowOff>14362</xdr:rowOff>
    </xdr:from>
    <xdr:to>
      <xdr:col>12</xdr:col>
      <xdr:colOff>636123</xdr:colOff>
      <xdr:row>48</xdr:row>
      <xdr:rowOff>52462</xdr:rowOff>
    </xdr:to>
    <xdr:sp macro="" textlink="">
      <xdr:nvSpPr>
        <xdr:cNvPr id="14" name="CuadroTexto 13">
          <a:extLst>
            <a:ext uri="{FF2B5EF4-FFF2-40B4-BE49-F238E27FC236}">
              <a16:creationId xmlns:a16="http://schemas.microsoft.com/office/drawing/2014/main" id="{CDE7F853-2CE5-4041-BAA1-68BEF524C266}"/>
            </a:ext>
          </a:extLst>
        </xdr:cNvPr>
        <xdr:cNvSpPr txBox="1"/>
      </xdr:nvSpPr>
      <xdr:spPr>
        <a:xfrm>
          <a:off x="7566562" y="9563785"/>
          <a:ext cx="1263503" cy="45329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BayWa Sans Book" panose="02010003040000000000" pitchFamily="50" charset="0"/>
            </a:rPr>
            <a:t>Hojas a utilizar en</a:t>
          </a:r>
          <a:r>
            <a:rPr lang="es-MX" sz="1000" baseline="0">
              <a:latin typeface="BayWa Sans Book" panose="02010003040000000000" pitchFamily="50" charset="0"/>
            </a:rPr>
            <a:t> la herramienta</a:t>
          </a:r>
          <a:endParaRPr lang="es-MX" sz="1000">
            <a:latin typeface="BayWa Sans Book" panose="02010003040000000000" pitchFamily="50" charset="0"/>
          </a:endParaRPr>
        </a:p>
      </xdr:txBody>
    </xdr:sp>
    <xdr:clientData/>
  </xdr:twoCellAnchor>
  <xdr:twoCellAnchor>
    <xdr:from>
      <xdr:col>3</xdr:col>
      <xdr:colOff>444989</xdr:colOff>
      <xdr:row>51</xdr:row>
      <xdr:rowOff>88021</xdr:rowOff>
    </xdr:from>
    <xdr:to>
      <xdr:col>12</xdr:col>
      <xdr:colOff>627869</xdr:colOff>
      <xdr:row>52</xdr:row>
      <xdr:rowOff>88021</xdr:rowOff>
    </xdr:to>
    <xdr:sp macro="" textlink="">
      <xdr:nvSpPr>
        <xdr:cNvPr id="17" name="Rectángulo 16">
          <a:extLst>
            <a:ext uri="{FF2B5EF4-FFF2-40B4-BE49-F238E27FC236}">
              <a16:creationId xmlns:a16="http://schemas.microsoft.com/office/drawing/2014/main" id="{C319E0BD-DA9C-4ED8-BF40-5B62F5E0DBAD}"/>
            </a:ext>
          </a:extLst>
        </xdr:cNvPr>
        <xdr:cNvSpPr/>
      </xdr:nvSpPr>
      <xdr:spPr>
        <a:xfrm>
          <a:off x="1495181" y="10675425"/>
          <a:ext cx="7326630" cy="207596"/>
        </a:xfrm>
        <a:prstGeom prst="rect">
          <a:avLst/>
        </a:prstGeom>
        <a:noFill/>
        <a:ln>
          <a:solidFill>
            <a:srgbClr val="FF090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8</xdr:col>
      <xdr:colOff>295342</xdr:colOff>
      <xdr:row>62</xdr:row>
      <xdr:rowOff>195683</xdr:rowOff>
    </xdr:from>
    <xdr:to>
      <xdr:col>28</xdr:col>
      <xdr:colOff>227905</xdr:colOff>
      <xdr:row>102</xdr:row>
      <xdr:rowOff>30419</xdr:rowOff>
    </xdr:to>
    <xdr:pic>
      <xdr:nvPicPr>
        <xdr:cNvPr id="18" name="Imagen 17">
          <a:extLst>
            <a:ext uri="{FF2B5EF4-FFF2-40B4-BE49-F238E27FC236}">
              <a16:creationId xmlns:a16="http://schemas.microsoft.com/office/drawing/2014/main" id="{6E8DA5CD-84D1-4349-A218-969A48F9612D}"/>
            </a:ext>
          </a:extLst>
        </xdr:cNvPr>
        <xdr:cNvPicPr>
          <a:picLocks noChangeAspect="1"/>
        </xdr:cNvPicPr>
      </xdr:nvPicPr>
      <xdr:blipFill>
        <a:blip xmlns:r="http://schemas.openxmlformats.org/officeDocument/2006/relationships" r:embed="rId16"/>
        <a:stretch>
          <a:fillRect/>
        </a:stretch>
      </xdr:blipFill>
      <xdr:spPr>
        <a:xfrm>
          <a:off x="5288751" y="12722501"/>
          <a:ext cx="15374609" cy="7916554"/>
        </a:xfrm>
        <a:prstGeom prst="rect">
          <a:avLst/>
        </a:prstGeom>
      </xdr:spPr>
    </xdr:pic>
    <xdr:clientData/>
  </xdr:twoCellAnchor>
  <xdr:twoCellAnchor>
    <xdr:from>
      <xdr:col>8</xdr:col>
      <xdr:colOff>591182</xdr:colOff>
      <xdr:row>69</xdr:row>
      <xdr:rowOff>133421</xdr:rowOff>
    </xdr:from>
    <xdr:to>
      <xdr:col>13</xdr:col>
      <xdr:colOff>278033</xdr:colOff>
      <xdr:row>81</xdr:row>
      <xdr:rowOff>72529</xdr:rowOff>
    </xdr:to>
    <xdr:sp macro="" textlink="">
      <xdr:nvSpPr>
        <xdr:cNvPr id="19" name="Rectángulo 18">
          <a:extLst>
            <a:ext uri="{FF2B5EF4-FFF2-40B4-BE49-F238E27FC236}">
              <a16:creationId xmlns:a16="http://schemas.microsoft.com/office/drawing/2014/main" id="{409AE069-5322-473D-B04C-6A282A5A47E9}"/>
            </a:ext>
          </a:extLst>
        </xdr:cNvPr>
        <xdr:cNvSpPr/>
      </xdr:nvSpPr>
      <xdr:spPr>
        <a:xfrm>
          <a:off x="5584591" y="14074557"/>
          <a:ext cx="3698897" cy="2363654"/>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13</xdr:col>
      <xdr:colOff>288636</xdr:colOff>
      <xdr:row>80</xdr:row>
      <xdr:rowOff>180791</xdr:rowOff>
    </xdr:from>
    <xdr:to>
      <xdr:col>25</xdr:col>
      <xdr:colOff>35821</xdr:colOff>
      <xdr:row>97</xdr:row>
      <xdr:rowOff>172326</xdr:rowOff>
    </xdr:to>
    <xdr:sp macro="" textlink="">
      <xdr:nvSpPr>
        <xdr:cNvPr id="22" name="Rectángulo 21">
          <a:extLst>
            <a:ext uri="{FF2B5EF4-FFF2-40B4-BE49-F238E27FC236}">
              <a16:creationId xmlns:a16="http://schemas.microsoft.com/office/drawing/2014/main" id="{5B2169B2-4752-4BE6-AFDF-088600B74A16}"/>
            </a:ext>
          </a:extLst>
        </xdr:cNvPr>
        <xdr:cNvSpPr/>
      </xdr:nvSpPr>
      <xdr:spPr>
        <a:xfrm>
          <a:off x="9294091" y="16344427"/>
          <a:ext cx="8752639" cy="3426308"/>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13</xdr:col>
      <xdr:colOff>314036</xdr:colOff>
      <xdr:row>98</xdr:row>
      <xdr:rowOff>29302</xdr:rowOff>
    </xdr:from>
    <xdr:to>
      <xdr:col>24</xdr:col>
      <xdr:colOff>528784</xdr:colOff>
      <xdr:row>100</xdr:row>
      <xdr:rowOff>43051</xdr:rowOff>
    </xdr:to>
    <xdr:sp macro="" textlink="">
      <xdr:nvSpPr>
        <xdr:cNvPr id="24" name="Rectángulo 23">
          <a:extLst>
            <a:ext uri="{FF2B5EF4-FFF2-40B4-BE49-F238E27FC236}">
              <a16:creationId xmlns:a16="http://schemas.microsoft.com/office/drawing/2014/main" id="{7AB26C45-24DA-41CE-87F0-F2F669CA6BD0}"/>
            </a:ext>
          </a:extLst>
        </xdr:cNvPr>
        <xdr:cNvSpPr/>
      </xdr:nvSpPr>
      <xdr:spPr>
        <a:xfrm>
          <a:off x="9319491" y="19829757"/>
          <a:ext cx="8412020" cy="417839"/>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5</xdr:col>
      <xdr:colOff>776940</xdr:colOff>
      <xdr:row>60</xdr:row>
      <xdr:rowOff>160835</xdr:rowOff>
    </xdr:from>
    <xdr:to>
      <xdr:col>11</xdr:col>
      <xdr:colOff>14341</xdr:colOff>
      <xdr:row>69</xdr:row>
      <xdr:rowOff>133421</xdr:rowOff>
    </xdr:to>
    <xdr:cxnSp macro="">
      <xdr:nvCxnSpPr>
        <xdr:cNvPr id="25" name="Conector recto de flecha 24">
          <a:extLst>
            <a:ext uri="{FF2B5EF4-FFF2-40B4-BE49-F238E27FC236}">
              <a16:creationId xmlns:a16="http://schemas.microsoft.com/office/drawing/2014/main" id="{30F4FE06-923E-4BEF-B472-6A2730FFB7BF}"/>
            </a:ext>
          </a:extLst>
        </xdr:cNvPr>
        <xdr:cNvCxnSpPr>
          <a:stCxn id="19" idx="0"/>
          <a:endCxn id="26" idx="0"/>
        </xdr:cNvCxnSpPr>
      </xdr:nvCxnSpPr>
      <xdr:spPr>
        <a:xfrm flipH="1" flipV="1">
          <a:off x="3345804" y="12283562"/>
          <a:ext cx="4086492" cy="179099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192887</xdr:colOff>
      <xdr:row>60</xdr:row>
      <xdr:rowOff>160835</xdr:rowOff>
    </xdr:from>
    <xdr:to>
      <xdr:col>8</xdr:col>
      <xdr:colOff>4401</xdr:colOff>
      <xdr:row>73</xdr:row>
      <xdr:rowOff>75554</xdr:rowOff>
    </xdr:to>
    <xdr:sp macro="" textlink="">
      <xdr:nvSpPr>
        <xdr:cNvPr id="26" name="CuadroTexto 25">
          <a:extLst>
            <a:ext uri="{FF2B5EF4-FFF2-40B4-BE49-F238E27FC236}">
              <a16:creationId xmlns:a16="http://schemas.microsoft.com/office/drawing/2014/main" id="{9E6301EB-FBFA-41BC-8E32-AA724B503962}"/>
            </a:ext>
          </a:extLst>
        </xdr:cNvPr>
        <xdr:cNvSpPr txBox="1"/>
      </xdr:nvSpPr>
      <xdr:spPr>
        <a:xfrm>
          <a:off x="1693796" y="12283562"/>
          <a:ext cx="3304014" cy="254131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100">
              <a:solidFill>
                <a:schemeClr val="dk1"/>
              </a:solidFill>
              <a:effectLst/>
              <a:latin typeface="+mn-lt"/>
              <a:ea typeface="+mn-ea"/>
              <a:cs typeface="+mn-cs"/>
            </a:rPr>
            <a:t>En</a:t>
          </a:r>
          <a:r>
            <a:rPr lang="es-MX" sz="1100" baseline="0">
              <a:solidFill>
                <a:schemeClr val="dk1"/>
              </a:solidFill>
              <a:effectLst/>
              <a:latin typeface="+mn-lt"/>
              <a:ea typeface="+mn-ea"/>
              <a:cs typeface="+mn-cs"/>
            </a:rPr>
            <a:t> esta sección se nos solicita llenar los datos del proyecto, tales como:</a:t>
          </a:r>
          <a:br>
            <a:rPr lang="es-MX" sz="1100" baseline="0">
              <a:solidFill>
                <a:schemeClr val="dk1"/>
              </a:solidFill>
              <a:effectLst/>
              <a:latin typeface="+mn-lt"/>
              <a:ea typeface="+mn-ea"/>
              <a:cs typeface="+mn-cs"/>
            </a:rPr>
          </a:br>
          <a:br>
            <a:rPr lang="es-MX" sz="1100" baseline="0">
              <a:solidFill>
                <a:schemeClr val="dk1"/>
              </a:solidFill>
              <a:effectLst/>
              <a:latin typeface="+mn-lt"/>
              <a:ea typeface="+mn-ea"/>
              <a:cs typeface="+mn-cs"/>
            </a:rPr>
          </a:br>
          <a:r>
            <a:rPr lang="es-MX" sz="1100" baseline="0">
              <a:solidFill>
                <a:schemeClr val="dk1"/>
              </a:solidFill>
              <a:effectLst/>
              <a:latin typeface="+mn-lt"/>
              <a:ea typeface="+mn-ea"/>
              <a:cs typeface="+mn-cs"/>
            </a:rPr>
            <a:t>1-La información del contacto, tales como nombre de proyecto, contacto y correo electronico.</a:t>
          </a:r>
        </a:p>
        <a:p>
          <a:endParaRPr lang="es-MX" sz="1100" baseline="0">
            <a:solidFill>
              <a:schemeClr val="dk1"/>
            </a:solidFill>
            <a:effectLst/>
            <a:latin typeface="+mn-lt"/>
            <a:ea typeface="+mn-ea"/>
            <a:cs typeface="+mn-cs"/>
          </a:endParaRPr>
        </a:p>
        <a:p>
          <a:r>
            <a:rPr lang="es-MX" sz="1100" baseline="0">
              <a:solidFill>
                <a:schemeClr val="dk1"/>
              </a:solidFill>
              <a:effectLst/>
              <a:latin typeface="+mn-lt"/>
              <a:ea typeface="+mn-ea"/>
              <a:cs typeface="+mn-cs"/>
            </a:rPr>
            <a:t> 2-</a:t>
          </a:r>
          <a:r>
            <a:rPr lang="es-MX" sz="1100" b="0" i="0">
              <a:solidFill>
                <a:schemeClr val="dk1"/>
              </a:solidFill>
              <a:effectLst/>
              <a:latin typeface="+mn-lt"/>
              <a:ea typeface="+mn-ea"/>
              <a:cs typeface="+mn-cs"/>
            </a:rPr>
            <a:t>Los datos del sitio en donde se hará la instalación, es de vital importancia colocar la ciudad ya que con esto la hoja de cálculo podrá sacar la información de las cartas de ingeniería en función a la velocidad de viento utilizada para el diseño.</a:t>
          </a:r>
        </a:p>
        <a:p>
          <a:r>
            <a:rPr lang="es-MX" sz="1100" b="0" i="0">
              <a:solidFill>
                <a:schemeClr val="dk1"/>
              </a:solidFill>
              <a:effectLst/>
              <a:latin typeface="+mn-lt"/>
              <a:ea typeface="+mn-ea"/>
              <a:cs typeface="+mn-cs"/>
            </a:rPr>
            <a:t>La exposición del viento también es un factor que domina en el diseño de la estructura, para conocer más sobre este criterio revisar el punto 3.0</a:t>
          </a:r>
        </a:p>
        <a:p>
          <a:br>
            <a:rPr lang="es-MX" sz="1100" baseline="0">
              <a:solidFill>
                <a:schemeClr val="dk1"/>
              </a:solidFill>
              <a:effectLst/>
              <a:latin typeface="+mn-lt"/>
              <a:ea typeface="+mn-ea"/>
              <a:cs typeface="+mn-cs"/>
            </a:rPr>
          </a:br>
          <a:br>
            <a:rPr lang="es-MX" sz="1100" baseline="0">
              <a:solidFill>
                <a:schemeClr val="dk1"/>
              </a:solidFill>
              <a:effectLst/>
              <a:latin typeface="+mn-lt"/>
              <a:ea typeface="+mn-ea"/>
              <a:cs typeface="+mn-cs"/>
            </a:rPr>
          </a:br>
          <a:endParaRPr lang="es-MX">
            <a:effectLst/>
          </a:endParaRPr>
        </a:p>
      </xdr:txBody>
    </xdr:sp>
    <xdr:clientData/>
  </xdr:twoCellAnchor>
  <xdr:twoCellAnchor>
    <xdr:from>
      <xdr:col>19</xdr:col>
      <xdr:colOff>363683</xdr:colOff>
      <xdr:row>100</xdr:row>
      <xdr:rowOff>43051</xdr:rowOff>
    </xdr:from>
    <xdr:to>
      <xdr:col>19</xdr:col>
      <xdr:colOff>377428</xdr:colOff>
      <xdr:row>102</xdr:row>
      <xdr:rowOff>147378</xdr:rowOff>
    </xdr:to>
    <xdr:cxnSp macro="">
      <xdr:nvCxnSpPr>
        <xdr:cNvPr id="27" name="Conector recto de flecha 26">
          <a:extLst>
            <a:ext uri="{FF2B5EF4-FFF2-40B4-BE49-F238E27FC236}">
              <a16:creationId xmlns:a16="http://schemas.microsoft.com/office/drawing/2014/main" id="{0EE72FE0-D4BF-40A2-8C91-24E6B122A0C6}"/>
            </a:ext>
          </a:extLst>
        </xdr:cNvPr>
        <xdr:cNvCxnSpPr>
          <a:stCxn id="24" idx="2"/>
          <a:endCxn id="28" idx="0"/>
        </xdr:cNvCxnSpPr>
      </xdr:nvCxnSpPr>
      <xdr:spPr>
        <a:xfrm>
          <a:off x="13525501" y="20247596"/>
          <a:ext cx="13745" cy="508418"/>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261974</xdr:colOff>
      <xdr:row>102</xdr:row>
      <xdr:rowOff>147378</xdr:rowOff>
    </xdr:from>
    <xdr:to>
      <xdr:col>21</xdr:col>
      <xdr:colOff>406292</xdr:colOff>
      <xdr:row>108</xdr:row>
      <xdr:rowOff>91883</xdr:rowOff>
    </xdr:to>
    <xdr:sp macro="" textlink="">
      <xdr:nvSpPr>
        <xdr:cNvPr id="28" name="CuadroTexto 27">
          <a:extLst>
            <a:ext uri="{FF2B5EF4-FFF2-40B4-BE49-F238E27FC236}">
              <a16:creationId xmlns:a16="http://schemas.microsoft.com/office/drawing/2014/main" id="{96BB46A4-DE94-416B-8C6F-94086B9A77B7}"/>
            </a:ext>
          </a:extLst>
        </xdr:cNvPr>
        <xdr:cNvSpPr txBox="1"/>
      </xdr:nvSpPr>
      <xdr:spPr>
        <a:xfrm>
          <a:off x="11894019" y="20756014"/>
          <a:ext cx="3290455" cy="115677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100">
              <a:latin typeface="BayWa Sans Book" panose="02010003040000000000" pitchFamily="50" charset="0"/>
            </a:rPr>
            <a:t>En</a:t>
          </a:r>
          <a:r>
            <a:rPr lang="es-MX" sz="1100" baseline="0">
              <a:latin typeface="BayWa Sans Book" panose="02010003040000000000" pitchFamily="50" charset="0"/>
            </a:rPr>
            <a:t> la parte inferior de cada tipo de sistema encontraremos la sumatoria total de todas las variantes de planchas ingresadas para cada tipo de sistema.</a:t>
          </a:r>
          <a:endParaRPr lang="es-MX" sz="1100">
            <a:latin typeface="BayWa Sans Book" panose="02010003040000000000" pitchFamily="50" charset="0"/>
          </a:endParaRPr>
        </a:p>
      </xdr:txBody>
    </xdr:sp>
    <xdr:clientData/>
  </xdr:twoCellAnchor>
  <xdr:twoCellAnchor>
    <xdr:from>
      <xdr:col>25</xdr:col>
      <xdr:colOff>35821</xdr:colOff>
      <xdr:row>89</xdr:row>
      <xdr:rowOff>76113</xdr:rowOff>
    </xdr:from>
    <xdr:to>
      <xdr:col>28</xdr:col>
      <xdr:colOff>516203</xdr:colOff>
      <xdr:row>90</xdr:row>
      <xdr:rowOff>41156</xdr:rowOff>
    </xdr:to>
    <xdr:cxnSp macro="">
      <xdr:nvCxnSpPr>
        <xdr:cNvPr id="33" name="Conector recto de flecha 32">
          <a:extLst>
            <a:ext uri="{FF2B5EF4-FFF2-40B4-BE49-F238E27FC236}">
              <a16:creationId xmlns:a16="http://schemas.microsoft.com/office/drawing/2014/main" id="{2F372035-0C9E-420C-A3F9-41B1645BF0EB}"/>
            </a:ext>
          </a:extLst>
        </xdr:cNvPr>
        <xdr:cNvCxnSpPr>
          <a:stCxn id="22" idx="3"/>
        </xdr:cNvCxnSpPr>
      </xdr:nvCxnSpPr>
      <xdr:spPr>
        <a:xfrm>
          <a:off x="18046730" y="18058158"/>
          <a:ext cx="2904928" cy="167089"/>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449620</xdr:colOff>
      <xdr:row>68</xdr:row>
      <xdr:rowOff>74263</xdr:rowOff>
    </xdr:from>
    <xdr:to>
      <xdr:col>26</xdr:col>
      <xdr:colOff>450995</xdr:colOff>
      <xdr:row>72</xdr:row>
      <xdr:rowOff>55722</xdr:rowOff>
    </xdr:to>
    <xdr:cxnSp macro="">
      <xdr:nvCxnSpPr>
        <xdr:cNvPr id="36" name="Conector recto de flecha 35">
          <a:extLst>
            <a:ext uri="{FF2B5EF4-FFF2-40B4-BE49-F238E27FC236}">
              <a16:creationId xmlns:a16="http://schemas.microsoft.com/office/drawing/2014/main" id="{9464B05D-0147-49DA-AE2F-CEECFEBEB9A7}"/>
            </a:ext>
          </a:extLst>
        </xdr:cNvPr>
        <xdr:cNvCxnSpPr>
          <a:stCxn id="42" idx="0"/>
          <a:endCxn id="41" idx="2"/>
        </xdr:cNvCxnSpPr>
      </xdr:nvCxnSpPr>
      <xdr:spPr>
        <a:xfrm flipH="1" flipV="1">
          <a:off x="19268711" y="13813354"/>
          <a:ext cx="1375" cy="789641"/>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602553</xdr:colOff>
      <xdr:row>85</xdr:row>
      <xdr:rowOff>175919</xdr:rowOff>
    </xdr:from>
    <xdr:to>
      <xdr:col>32</xdr:col>
      <xdr:colOff>400717</xdr:colOff>
      <xdr:row>96</xdr:row>
      <xdr:rowOff>74450</xdr:rowOff>
    </xdr:to>
    <xdr:sp macro="" textlink="">
      <xdr:nvSpPr>
        <xdr:cNvPr id="40" name="CuadroTexto 39">
          <a:extLst>
            <a:ext uri="{FF2B5EF4-FFF2-40B4-BE49-F238E27FC236}">
              <a16:creationId xmlns:a16="http://schemas.microsoft.com/office/drawing/2014/main" id="{ACA076D9-75E0-4BDF-8D8A-29A4ED8375B6}"/>
            </a:ext>
          </a:extLst>
        </xdr:cNvPr>
        <xdr:cNvSpPr txBox="1"/>
      </xdr:nvSpPr>
      <xdr:spPr>
        <a:xfrm>
          <a:off x="21038008" y="17349783"/>
          <a:ext cx="3030891" cy="212103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100">
              <a:latin typeface="BayWa Sans Book" panose="02010003040000000000" pitchFamily="50" charset="0"/>
            </a:rPr>
            <a:t>La</a:t>
          </a:r>
          <a:r>
            <a:rPr lang="es-MX" sz="1100" baseline="0">
              <a:latin typeface="BayWa Sans Book" panose="02010003040000000000" pitchFamily="50" charset="0"/>
            </a:rPr>
            <a:t> sección central de la hoja cuenta con dos partes:</a:t>
          </a:r>
        </a:p>
        <a:p>
          <a:endParaRPr lang="es-MX" sz="1100" baseline="0">
            <a:latin typeface="BayWa Sans Book" panose="02010003040000000000" pitchFamily="50" charset="0"/>
          </a:endParaRPr>
        </a:p>
        <a:p>
          <a:r>
            <a:rPr lang="es-MX" sz="1100" baseline="0">
              <a:latin typeface="BayWa Sans Book" panose="02010003040000000000" pitchFamily="50" charset="0"/>
            </a:rPr>
            <a:t>Las partes marcadas con "1" nos solicitan ingresar el numero de veces que se repite ese tipo de arreglo o plancha en especifico.</a:t>
          </a:r>
        </a:p>
        <a:p>
          <a:endParaRPr lang="es-MX" sz="1100" baseline="0">
            <a:latin typeface="BayWa Sans Book" panose="02010003040000000000" pitchFamily="50" charset="0"/>
          </a:endParaRPr>
        </a:p>
        <a:p>
          <a:r>
            <a:rPr lang="es-MX" sz="1100" baseline="0">
              <a:latin typeface="BayWa Sans Book" panose="02010003040000000000" pitchFamily="50" charset="0"/>
            </a:rPr>
            <a:t>Las partes marcadas con "2" nos solicitan ingresar  </a:t>
          </a:r>
          <a:r>
            <a:rPr lang="es-MX" sz="1100" b="0" i="0">
              <a:solidFill>
                <a:schemeClr val="dk1"/>
              </a:solidFill>
              <a:effectLst/>
              <a:latin typeface="BayWa Sans Book" panose="02010003040000000000" pitchFamily="50" charset="0"/>
              <a:ea typeface="+mn-ea"/>
              <a:cs typeface="+mn-cs"/>
            </a:rPr>
            <a:t>la cantidad de paneles por arreglo</a:t>
          </a:r>
          <a:endParaRPr lang="es-MX" sz="1100">
            <a:latin typeface="BayWa Sans Book" panose="02010003040000000000" pitchFamily="50" charset="0"/>
          </a:endParaRPr>
        </a:p>
      </xdr:txBody>
    </xdr:sp>
    <xdr:clientData/>
  </xdr:twoCellAnchor>
  <xdr:twoCellAnchor>
    <xdr:from>
      <xdr:col>24</xdr:col>
      <xdr:colOff>750644</xdr:colOff>
      <xdr:row>64</xdr:row>
      <xdr:rowOff>66329</xdr:rowOff>
    </xdr:from>
    <xdr:to>
      <xdr:col>28</xdr:col>
      <xdr:colOff>142304</xdr:colOff>
      <xdr:row>68</xdr:row>
      <xdr:rowOff>74263</xdr:rowOff>
    </xdr:to>
    <xdr:sp macro="" textlink="">
      <xdr:nvSpPr>
        <xdr:cNvPr id="41" name="CuadroTexto 40">
          <a:extLst>
            <a:ext uri="{FF2B5EF4-FFF2-40B4-BE49-F238E27FC236}">
              <a16:creationId xmlns:a16="http://schemas.microsoft.com/office/drawing/2014/main" id="{42739BD7-691B-4F32-AF88-901CAB10FEB3}"/>
            </a:ext>
          </a:extLst>
        </xdr:cNvPr>
        <xdr:cNvSpPr txBox="1"/>
      </xdr:nvSpPr>
      <xdr:spPr>
        <a:xfrm>
          <a:off x="17953371" y="12997238"/>
          <a:ext cx="2624388" cy="81611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100">
              <a:latin typeface="BayWa Sans Book" panose="02010003040000000000" pitchFamily="50" charset="0"/>
            </a:rPr>
            <a:t>En</a:t>
          </a:r>
          <a:r>
            <a:rPr lang="es-MX" sz="1100" baseline="0">
              <a:latin typeface="BayWa Sans Book" panose="02010003040000000000" pitchFamily="50" charset="0"/>
            </a:rPr>
            <a:t> esta parte observaremos la sumatoria de todos los arreglos ingresados en numero de módulos y potencia del sistema.</a:t>
          </a:r>
          <a:endParaRPr lang="es-MX" sz="1100">
            <a:latin typeface="BayWa Sans Book" panose="02010003040000000000" pitchFamily="50" charset="0"/>
          </a:endParaRPr>
        </a:p>
      </xdr:txBody>
    </xdr:sp>
    <xdr:clientData/>
  </xdr:twoCellAnchor>
  <xdr:twoCellAnchor>
    <xdr:from>
      <xdr:col>24</xdr:col>
      <xdr:colOff>719648</xdr:colOff>
      <xdr:row>72</xdr:row>
      <xdr:rowOff>55722</xdr:rowOff>
    </xdr:from>
    <xdr:to>
      <xdr:col>28</xdr:col>
      <xdr:colOff>186412</xdr:colOff>
      <xdr:row>76</xdr:row>
      <xdr:rowOff>116920</xdr:rowOff>
    </xdr:to>
    <xdr:sp macro="" textlink="">
      <xdr:nvSpPr>
        <xdr:cNvPr id="42" name="Rectángulo 41">
          <a:extLst>
            <a:ext uri="{FF2B5EF4-FFF2-40B4-BE49-F238E27FC236}">
              <a16:creationId xmlns:a16="http://schemas.microsoft.com/office/drawing/2014/main" id="{559D7C95-BE74-4DCD-954D-5D158CEFE27A}"/>
            </a:ext>
          </a:extLst>
        </xdr:cNvPr>
        <xdr:cNvSpPr/>
      </xdr:nvSpPr>
      <xdr:spPr>
        <a:xfrm>
          <a:off x="17922375" y="14602995"/>
          <a:ext cx="2699492" cy="86938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13</xdr:col>
      <xdr:colOff>652703</xdr:colOff>
      <xdr:row>64</xdr:row>
      <xdr:rowOff>114864</xdr:rowOff>
    </xdr:from>
    <xdr:to>
      <xdr:col>14</xdr:col>
      <xdr:colOff>432571</xdr:colOff>
      <xdr:row>79</xdr:row>
      <xdr:rowOff>4146</xdr:rowOff>
    </xdr:to>
    <xdr:cxnSp macro="">
      <xdr:nvCxnSpPr>
        <xdr:cNvPr id="46" name="Conector recto de flecha 45">
          <a:extLst>
            <a:ext uri="{FF2B5EF4-FFF2-40B4-BE49-F238E27FC236}">
              <a16:creationId xmlns:a16="http://schemas.microsoft.com/office/drawing/2014/main" id="{B7372138-964C-4C5B-BED4-15CA89112B34}"/>
            </a:ext>
          </a:extLst>
        </xdr:cNvPr>
        <xdr:cNvCxnSpPr/>
      </xdr:nvCxnSpPr>
      <xdr:spPr>
        <a:xfrm flipH="1">
          <a:off x="9658158" y="13045773"/>
          <a:ext cx="588049" cy="2919964"/>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600088</xdr:colOff>
      <xdr:row>58</xdr:row>
      <xdr:rowOff>136934</xdr:rowOff>
    </xdr:from>
    <xdr:to>
      <xdr:col>20</xdr:col>
      <xdr:colOff>528285</xdr:colOff>
      <xdr:row>64</xdr:row>
      <xdr:rowOff>113482</xdr:rowOff>
    </xdr:to>
    <xdr:sp macro="" textlink="">
      <xdr:nvSpPr>
        <xdr:cNvPr id="47" name="CuadroTexto 46">
          <a:extLst>
            <a:ext uri="{FF2B5EF4-FFF2-40B4-BE49-F238E27FC236}">
              <a16:creationId xmlns:a16="http://schemas.microsoft.com/office/drawing/2014/main" id="{18AF6E5E-C0D5-45BB-94AA-3F2555D89DDB}"/>
            </a:ext>
          </a:extLst>
        </xdr:cNvPr>
        <xdr:cNvSpPr txBox="1"/>
      </xdr:nvSpPr>
      <xdr:spPr>
        <a:xfrm>
          <a:off x="9605543" y="11855570"/>
          <a:ext cx="4892742" cy="118882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100">
              <a:latin typeface="BayWa Sans Book" panose="02010003040000000000" pitchFamily="50" charset="0"/>
            </a:rPr>
            <a:t>La</a:t>
          </a:r>
          <a:r>
            <a:rPr lang="es-MX" sz="1100" baseline="0">
              <a:latin typeface="BayWa Sans Book" panose="02010003040000000000" pitchFamily="50" charset="0"/>
            </a:rPr>
            <a:t> herramienta nos permite seleccionar si el sistema será instalado de manera vertical u horizontal ( portrait o landscape) la recomendación siempre será realizar la instalación en modo vertical para tener ahorros en material.</a:t>
          </a:r>
          <a:endParaRPr lang="es-MX" sz="1100">
            <a:latin typeface="BayWa Sans Book" panose="02010003040000000000" pitchFamily="50" charset="0"/>
          </a:endParaRPr>
        </a:p>
      </xdr:txBody>
    </xdr:sp>
    <xdr:clientData/>
  </xdr:twoCellAnchor>
  <xdr:twoCellAnchor>
    <xdr:from>
      <xdr:col>8</xdr:col>
      <xdr:colOff>593904</xdr:colOff>
      <xdr:row>82</xdr:row>
      <xdr:rowOff>59816</xdr:rowOff>
    </xdr:from>
    <xdr:to>
      <xdr:col>13</xdr:col>
      <xdr:colOff>210542</xdr:colOff>
      <xdr:row>97</xdr:row>
      <xdr:rowOff>59815</xdr:rowOff>
    </xdr:to>
    <xdr:sp macro="" textlink="">
      <xdr:nvSpPr>
        <xdr:cNvPr id="48" name="Rectángulo 47">
          <a:extLst>
            <a:ext uri="{FF2B5EF4-FFF2-40B4-BE49-F238E27FC236}">
              <a16:creationId xmlns:a16="http://schemas.microsoft.com/office/drawing/2014/main" id="{56DE19C3-12B5-4547-A8E7-D4731F485707}"/>
            </a:ext>
          </a:extLst>
        </xdr:cNvPr>
        <xdr:cNvSpPr/>
      </xdr:nvSpPr>
      <xdr:spPr>
        <a:xfrm>
          <a:off x="5587313" y="16627543"/>
          <a:ext cx="3628684" cy="303068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139046</xdr:colOff>
      <xdr:row>88</xdr:row>
      <xdr:rowOff>169389</xdr:rowOff>
    </xdr:from>
    <xdr:to>
      <xdr:col>7</xdr:col>
      <xdr:colOff>307284</xdr:colOff>
      <xdr:row>99</xdr:row>
      <xdr:rowOff>76852</xdr:rowOff>
    </xdr:to>
    <xdr:sp macro="" textlink="">
      <xdr:nvSpPr>
        <xdr:cNvPr id="50" name="CuadroTexto 49">
          <a:extLst>
            <a:ext uri="{FF2B5EF4-FFF2-40B4-BE49-F238E27FC236}">
              <a16:creationId xmlns:a16="http://schemas.microsoft.com/office/drawing/2014/main" id="{7F19D637-8BCB-4E27-A011-EA1A1DEC251F}"/>
            </a:ext>
          </a:extLst>
        </xdr:cNvPr>
        <xdr:cNvSpPr txBox="1"/>
      </xdr:nvSpPr>
      <xdr:spPr>
        <a:xfrm>
          <a:off x="1178137" y="17949389"/>
          <a:ext cx="3314374" cy="212996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100">
              <a:solidFill>
                <a:schemeClr val="dk1"/>
              </a:solidFill>
              <a:effectLst/>
              <a:latin typeface="+mn-lt"/>
              <a:ea typeface="+mn-ea"/>
              <a:cs typeface="+mn-cs"/>
            </a:rPr>
            <a:t>En</a:t>
          </a:r>
          <a:r>
            <a:rPr lang="es-MX" sz="1100" baseline="0">
              <a:solidFill>
                <a:schemeClr val="dk1"/>
              </a:solidFill>
              <a:effectLst/>
              <a:latin typeface="+mn-lt"/>
              <a:ea typeface="+mn-ea"/>
              <a:cs typeface="+mn-cs"/>
            </a:rPr>
            <a:t> esta sección se nos solicita llenar los datos del proyecto, tales como:</a:t>
          </a:r>
          <a:br>
            <a:rPr lang="es-MX" sz="1100" baseline="0">
              <a:solidFill>
                <a:schemeClr val="dk1"/>
              </a:solidFill>
              <a:effectLst/>
              <a:latin typeface="+mn-lt"/>
              <a:ea typeface="+mn-ea"/>
              <a:cs typeface="+mn-cs"/>
            </a:rPr>
          </a:br>
          <a:br>
            <a:rPr lang="es-MX" sz="1100" baseline="0">
              <a:solidFill>
                <a:schemeClr val="dk1"/>
              </a:solidFill>
              <a:effectLst/>
              <a:latin typeface="+mn-lt"/>
              <a:ea typeface="+mn-ea"/>
              <a:cs typeface="+mn-cs"/>
            </a:rPr>
          </a:br>
          <a:r>
            <a:rPr lang="es-MX" sz="1100" baseline="0">
              <a:solidFill>
                <a:schemeClr val="dk1"/>
              </a:solidFill>
              <a:effectLst/>
              <a:latin typeface="+mn-lt"/>
              <a:ea typeface="+mn-ea"/>
              <a:cs typeface="+mn-cs"/>
            </a:rPr>
            <a:t>3- Se nos pide ingresar los datos del módulo FV a utilizar es de vital importancia ingresar manualmente el tamaño del módulo FV y su espesor.</a:t>
          </a:r>
          <a:br>
            <a:rPr lang="es-MX" sz="1100" baseline="0">
              <a:solidFill>
                <a:schemeClr val="dk1"/>
              </a:solidFill>
              <a:effectLst/>
              <a:latin typeface="+mn-lt"/>
              <a:ea typeface="+mn-ea"/>
              <a:cs typeface="+mn-cs"/>
            </a:rPr>
          </a:br>
          <a:br>
            <a:rPr lang="es-MX" sz="1100" baseline="0">
              <a:solidFill>
                <a:schemeClr val="dk1"/>
              </a:solidFill>
              <a:effectLst/>
              <a:latin typeface="+mn-lt"/>
              <a:ea typeface="+mn-ea"/>
              <a:cs typeface="+mn-cs"/>
            </a:rPr>
          </a:br>
          <a:r>
            <a:rPr lang="es-MX" sz="1100" baseline="0">
              <a:solidFill>
                <a:schemeClr val="dk1"/>
              </a:solidFill>
              <a:effectLst/>
              <a:latin typeface="+mn-lt"/>
              <a:ea typeface="+mn-ea"/>
              <a:cs typeface="+mn-cs"/>
            </a:rPr>
            <a:t>4- El resto de los datos dependerán directamente del tipo de sistema a instalar.</a:t>
          </a:r>
          <a:br>
            <a:rPr lang="es-MX" sz="1100" baseline="0">
              <a:solidFill>
                <a:schemeClr val="dk1"/>
              </a:solidFill>
              <a:effectLst/>
              <a:latin typeface="+mn-lt"/>
              <a:ea typeface="+mn-ea"/>
              <a:cs typeface="+mn-cs"/>
            </a:rPr>
          </a:br>
          <a:endParaRPr lang="es-MX">
            <a:effectLst/>
          </a:endParaRPr>
        </a:p>
      </xdr:txBody>
    </xdr:sp>
    <xdr:clientData/>
  </xdr:twoCellAnchor>
  <xdr:twoCellAnchor>
    <xdr:from>
      <xdr:col>13</xdr:col>
      <xdr:colOff>671945</xdr:colOff>
      <xdr:row>78</xdr:row>
      <xdr:rowOff>128925</xdr:rowOff>
    </xdr:from>
    <xdr:to>
      <xdr:col>24</xdr:col>
      <xdr:colOff>251691</xdr:colOff>
      <xdr:row>79</xdr:row>
      <xdr:rowOff>95058</xdr:rowOff>
    </xdr:to>
    <xdr:sp macro="" textlink="">
      <xdr:nvSpPr>
        <xdr:cNvPr id="51" name="Rectángulo 50">
          <a:extLst>
            <a:ext uri="{FF2B5EF4-FFF2-40B4-BE49-F238E27FC236}">
              <a16:creationId xmlns:a16="http://schemas.microsoft.com/office/drawing/2014/main" id="{34F12844-9416-423C-B998-229EEB26F18F}"/>
            </a:ext>
          </a:extLst>
        </xdr:cNvPr>
        <xdr:cNvSpPr/>
      </xdr:nvSpPr>
      <xdr:spPr>
        <a:xfrm>
          <a:off x="9677400" y="15888470"/>
          <a:ext cx="7777018" cy="16817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7</xdr:col>
      <xdr:colOff>307284</xdr:colOff>
      <xdr:row>92</xdr:row>
      <xdr:rowOff>169905</xdr:rowOff>
    </xdr:from>
    <xdr:to>
      <xdr:col>8</xdr:col>
      <xdr:colOff>577274</xdr:colOff>
      <xdr:row>94</xdr:row>
      <xdr:rowOff>22680</xdr:rowOff>
    </xdr:to>
    <xdr:cxnSp macro="">
      <xdr:nvCxnSpPr>
        <xdr:cNvPr id="52" name="Conector recto de flecha 51">
          <a:extLst>
            <a:ext uri="{FF2B5EF4-FFF2-40B4-BE49-F238E27FC236}">
              <a16:creationId xmlns:a16="http://schemas.microsoft.com/office/drawing/2014/main" id="{0ABB6FBD-7F34-4D7F-9FA3-2618084E0A81}"/>
            </a:ext>
          </a:extLst>
        </xdr:cNvPr>
        <xdr:cNvCxnSpPr>
          <a:stCxn id="50" idx="3"/>
        </xdr:cNvCxnSpPr>
      </xdr:nvCxnSpPr>
      <xdr:spPr>
        <a:xfrm flipV="1">
          <a:off x="4492511" y="18758087"/>
          <a:ext cx="1078172" cy="25686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345505</xdr:colOff>
      <xdr:row>86</xdr:row>
      <xdr:rowOff>130632</xdr:rowOff>
    </xdr:from>
    <xdr:to>
      <xdr:col>14</xdr:col>
      <xdr:colOff>262664</xdr:colOff>
      <xdr:row>90</xdr:row>
      <xdr:rowOff>14344</xdr:rowOff>
    </xdr:to>
    <xdr:pic>
      <xdr:nvPicPr>
        <xdr:cNvPr id="92" name="Gráfico 91" descr="Insignia 1 contorno">
          <a:extLst>
            <a:ext uri="{FF2B5EF4-FFF2-40B4-BE49-F238E27FC236}">
              <a16:creationId xmlns:a16="http://schemas.microsoft.com/office/drawing/2014/main" id="{EF1E35C8-46A5-49C0-876F-01EFF903485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9350960" y="17506541"/>
          <a:ext cx="725340" cy="691894"/>
        </a:xfrm>
        <a:prstGeom prst="rect">
          <a:avLst/>
        </a:prstGeom>
      </xdr:spPr>
    </xdr:pic>
    <xdr:clientData/>
  </xdr:twoCellAnchor>
  <xdr:twoCellAnchor>
    <xdr:from>
      <xdr:col>14</xdr:col>
      <xdr:colOff>561164</xdr:colOff>
      <xdr:row>86</xdr:row>
      <xdr:rowOff>130632</xdr:rowOff>
    </xdr:from>
    <xdr:to>
      <xdr:col>15</xdr:col>
      <xdr:colOff>661866</xdr:colOff>
      <xdr:row>90</xdr:row>
      <xdr:rowOff>14025</xdr:rowOff>
    </xdr:to>
    <xdr:pic>
      <xdr:nvPicPr>
        <xdr:cNvPr id="93" name="Gráfico 92" descr="Insignia contorno">
          <a:extLst>
            <a:ext uri="{FF2B5EF4-FFF2-40B4-BE49-F238E27FC236}">
              <a16:creationId xmlns:a16="http://schemas.microsoft.com/office/drawing/2014/main" id="{5078F7E1-B25C-4119-9924-9638C483A6A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0374800" y="17506541"/>
          <a:ext cx="735702" cy="691575"/>
        </a:xfrm>
        <a:prstGeom prst="rect">
          <a:avLst/>
        </a:prstGeom>
      </xdr:spPr>
    </xdr:pic>
    <xdr:clientData/>
  </xdr:twoCellAnchor>
  <xdr:twoCellAnchor>
    <xdr:from>
      <xdr:col>16</xdr:col>
      <xdr:colOff>458680</xdr:colOff>
      <xdr:row>86</xdr:row>
      <xdr:rowOff>137511</xdr:rowOff>
    </xdr:from>
    <xdr:to>
      <xdr:col>17</xdr:col>
      <xdr:colOff>703702</xdr:colOff>
      <xdr:row>90</xdr:row>
      <xdr:rowOff>21223</xdr:rowOff>
    </xdr:to>
    <xdr:pic>
      <xdr:nvPicPr>
        <xdr:cNvPr id="94" name="Gráfico 93" descr="Insignia 1 contorno">
          <a:extLst>
            <a:ext uri="{FF2B5EF4-FFF2-40B4-BE49-F238E27FC236}">
              <a16:creationId xmlns:a16="http://schemas.microsoft.com/office/drawing/2014/main" id="{4FEE4AE4-9BFC-4530-81E1-0CDA32F693E5}"/>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1600044" y="17513420"/>
          <a:ext cx="735703" cy="691894"/>
        </a:xfrm>
        <a:prstGeom prst="rect">
          <a:avLst/>
        </a:prstGeom>
      </xdr:spPr>
    </xdr:pic>
    <xdr:clientData/>
  </xdr:twoCellAnchor>
  <xdr:twoCellAnchor>
    <xdr:from>
      <xdr:col>18</xdr:col>
      <xdr:colOff>280609</xdr:colOff>
      <xdr:row>86</xdr:row>
      <xdr:rowOff>137511</xdr:rowOff>
    </xdr:from>
    <xdr:to>
      <xdr:col>19</xdr:col>
      <xdr:colOff>208129</xdr:colOff>
      <xdr:row>90</xdr:row>
      <xdr:rowOff>20904</xdr:rowOff>
    </xdr:to>
    <xdr:pic>
      <xdr:nvPicPr>
        <xdr:cNvPr id="101" name="Gráfico 100" descr="Insignia contorno">
          <a:extLst>
            <a:ext uri="{FF2B5EF4-FFF2-40B4-BE49-F238E27FC236}">
              <a16:creationId xmlns:a16="http://schemas.microsoft.com/office/drawing/2014/main" id="{9422466C-4464-4FD3-B7ED-A012BC03A0D8}"/>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2634245" y="17513420"/>
          <a:ext cx="735702" cy="691575"/>
        </a:xfrm>
        <a:prstGeom prst="rect">
          <a:avLst/>
        </a:prstGeom>
      </xdr:spPr>
    </xdr:pic>
    <xdr:clientData/>
  </xdr:twoCellAnchor>
  <xdr:twoCellAnchor>
    <xdr:from>
      <xdr:col>19</xdr:col>
      <xdr:colOff>552152</xdr:colOff>
      <xdr:row>86</xdr:row>
      <xdr:rowOff>151052</xdr:rowOff>
    </xdr:from>
    <xdr:to>
      <xdr:col>20</xdr:col>
      <xdr:colOff>475601</xdr:colOff>
      <xdr:row>90</xdr:row>
      <xdr:rowOff>28102</xdr:rowOff>
    </xdr:to>
    <xdr:pic>
      <xdr:nvPicPr>
        <xdr:cNvPr id="102" name="Gráfico 101" descr="Insignia 1 contorno">
          <a:extLst>
            <a:ext uri="{FF2B5EF4-FFF2-40B4-BE49-F238E27FC236}">
              <a16:creationId xmlns:a16="http://schemas.microsoft.com/office/drawing/2014/main" id="{42738E38-1E43-4F54-B907-8A0DD52E90FD}"/>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3713970" y="17526961"/>
          <a:ext cx="731631" cy="685232"/>
        </a:xfrm>
        <a:prstGeom prst="rect">
          <a:avLst/>
        </a:prstGeom>
      </xdr:spPr>
    </xdr:pic>
    <xdr:clientData/>
  </xdr:twoCellAnchor>
  <xdr:twoCellAnchor>
    <xdr:from>
      <xdr:col>20</xdr:col>
      <xdr:colOff>767809</xdr:colOff>
      <xdr:row>86</xdr:row>
      <xdr:rowOff>151052</xdr:rowOff>
    </xdr:from>
    <xdr:to>
      <xdr:col>21</xdr:col>
      <xdr:colOff>695330</xdr:colOff>
      <xdr:row>90</xdr:row>
      <xdr:rowOff>27783</xdr:rowOff>
    </xdr:to>
    <xdr:pic>
      <xdr:nvPicPr>
        <xdr:cNvPr id="103" name="Gráfico 102" descr="Insignia contorno">
          <a:extLst>
            <a:ext uri="{FF2B5EF4-FFF2-40B4-BE49-F238E27FC236}">
              <a16:creationId xmlns:a16="http://schemas.microsoft.com/office/drawing/2014/main" id="{6FACC69E-87F0-4866-B6FA-DE2293D9BB81}"/>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4737809" y="17526961"/>
          <a:ext cx="735703" cy="684913"/>
        </a:xfrm>
        <a:prstGeom prst="rect">
          <a:avLst/>
        </a:prstGeom>
      </xdr:spPr>
    </xdr:pic>
    <xdr:clientData/>
  </xdr:twoCellAnchor>
  <xdr:twoCellAnchor>
    <xdr:from>
      <xdr:col>22</xdr:col>
      <xdr:colOff>237461</xdr:colOff>
      <xdr:row>86</xdr:row>
      <xdr:rowOff>85124</xdr:rowOff>
    </xdr:from>
    <xdr:to>
      <xdr:col>23</xdr:col>
      <xdr:colOff>154620</xdr:colOff>
      <xdr:row>89</xdr:row>
      <xdr:rowOff>170882</xdr:rowOff>
    </xdr:to>
    <xdr:pic>
      <xdr:nvPicPr>
        <xdr:cNvPr id="104" name="Gráfico 103" descr="Insignia 1 contorno">
          <a:extLst>
            <a:ext uri="{FF2B5EF4-FFF2-40B4-BE49-F238E27FC236}">
              <a16:creationId xmlns:a16="http://schemas.microsoft.com/office/drawing/2014/main" id="{F57BAA1B-7E53-4B02-A1B4-7923F644ACC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5823825" y="17461033"/>
          <a:ext cx="725340" cy="691894"/>
        </a:xfrm>
        <a:prstGeom prst="rect">
          <a:avLst/>
        </a:prstGeom>
      </xdr:spPr>
    </xdr:pic>
    <xdr:clientData/>
  </xdr:twoCellAnchor>
  <xdr:twoCellAnchor>
    <xdr:from>
      <xdr:col>23</xdr:col>
      <xdr:colOff>453120</xdr:colOff>
      <xdr:row>86</xdr:row>
      <xdr:rowOff>85124</xdr:rowOff>
    </xdr:from>
    <xdr:to>
      <xdr:col>24</xdr:col>
      <xdr:colOff>380639</xdr:colOff>
      <xdr:row>89</xdr:row>
      <xdr:rowOff>170563</xdr:rowOff>
    </xdr:to>
    <xdr:pic>
      <xdr:nvPicPr>
        <xdr:cNvPr id="105" name="Gráfico 104" descr="Insignia contorno">
          <a:extLst>
            <a:ext uri="{FF2B5EF4-FFF2-40B4-BE49-F238E27FC236}">
              <a16:creationId xmlns:a16="http://schemas.microsoft.com/office/drawing/2014/main" id="{BE3B7438-F66C-410E-AC5E-5EA878A5E77C}"/>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6847665" y="17461033"/>
          <a:ext cx="735701" cy="691575"/>
        </a:xfrm>
        <a:prstGeom prst="rect">
          <a:avLst/>
        </a:prstGeom>
      </xdr:spPr>
    </xdr:pic>
    <xdr:clientData/>
  </xdr:twoCellAnchor>
  <xdr:twoCellAnchor editAs="oneCell">
    <xdr:from>
      <xdr:col>15</xdr:col>
      <xdr:colOff>27364</xdr:colOff>
      <xdr:row>126</xdr:row>
      <xdr:rowOff>23091</xdr:rowOff>
    </xdr:from>
    <xdr:to>
      <xdr:col>17</xdr:col>
      <xdr:colOff>675697</xdr:colOff>
      <xdr:row>126</xdr:row>
      <xdr:rowOff>1420091</xdr:rowOff>
    </xdr:to>
    <xdr:pic>
      <xdr:nvPicPr>
        <xdr:cNvPr id="6" name="Imagen 5">
          <a:extLst>
            <a:ext uri="{FF2B5EF4-FFF2-40B4-BE49-F238E27FC236}">
              <a16:creationId xmlns:a16="http://schemas.microsoft.com/office/drawing/2014/main" id="{D52B0092-EBA8-B8E7-5A19-9E9840AEF9B4}"/>
            </a:ext>
          </a:extLst>
        </xdr:cNvPr>
        <xdr:cNvPicPr>
          <a:picLocks noChangeAspect="1"/>
        </xdr:cNvPicPr>
      </xdr:nvPicPr>
      <xdr:blipFill>
        <a:blip xmlns:r="http://schemas.openxmlformats.org/officeDocument/2006/relationships" r:embed="rId21"/>
        <a:stretch>
          <a:fillRect/>
        </a:stretch>
      </xdr:blipFill>
      <xdr:spPr>
        <a:xfrm>
          <a:off x="10395182" y="37060909"/>
          <a:ext cx="1842999" cy="1397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13639</xdr:colOff>
      <xdr:row>0</xdr:row>
      <xdr:rowOff>0</xdr:rowOff>
    </xdr:from>
    <xdr:to>
      <xdr:col>14</xdr:col>
      <xdr:colOff>199264</xdr:colOff>
      <xdr:row>5</xdr:row>
      <xdr:rowOff>144107</xdr:rowOff>
    </xdr:to>
    <xdr:pic>
      <xdr:nvPicPr>
        <xdr:cNvPr id="8" name="Imagen 7">
          <a:extLst>
            <a:ext uri="{FF2B5EF4-FFF2-40B4-BE49-F238E27FC236}">
              <a16:creationId xmlns:a16="http://schemas.microsoft.com/office/drawing/2014/main" id="{72BC6D97-99F7-443E-A1AB-FCEB23005B5E}"/>
            </a:ext>
          </a:extLst>
        </xdr:cNvPr>
        <xdr:cNvPicPr>
          <a:picLocks noChangeAspect="1"/>
        </xdr:cNvPicPr>
      </xdr:nvPicPr>
      <xdr:blipFill>
        <a:blip xmlns:r="http://schemas.openxmlformats.org/officeDocument/2006/relationships" r:embed="rId1"/>
        <a:stretch>
          <a:fillRect/>
        </a:stretch>
      </xdr:blipFill>
      <xdr:spPr>
        <a:xfrm>
          <a:off x="7751568" y="0"/>
          <a:ext cx="5834403" cy="1395964"/>
        </a:xfrm>
        <a:prstGeom prst="rect">
          <a:avLst/>
        </a:prstGeom>
      </xdr:spPr>
    </xdr:pic>
    <xdr:clientData/>
  </xdr:twoCellAnchor>
  <xdr:twoCellAnchor>
    <xdr:from>
      <xdr:col>8</xdr:col>
      <xdr:colOff>255814</xdr:colOff>
      <xdr:row>10</xdr:row>
      <xdr:rowOff>105387</xdr:rowOff>
    </xdr:from>
    <xdr:to>
      <xdr:col>8</xdr:col>
      <xdr:colOff>296560</xdr:colOff>
      <xdr:row>40</xdr:row>
      <xdr:rowOff>54792</xdr:rowOff>
    </xdr:to>
    <xdr:cxnSp macro="">
      <xdr:nvCxnSpPr>
        <xdr:cNvPr id="6" name="Conector recto 5">
          <a:extLst>
            <a:ext uri="{FF2B5EF4-FFF2-40B4-BE49-F238E27FC236}">
              <a16:creationId xmlns:a16="http://schemas.microsoft.com/office/drawing/2014/main" id="{AB304668-17D6-C440-8E30-181560EFF148}"/>
            </a:ext>
          </a:extLst>
        </xdr:cNvPr>
        <xdr:cNvCxnSpPr/>
      </xdr:nvCxnSpPr>
      <xdr:spPr>
        <a:xfrm flipH="1">
          <a:off x="7993743" y="2491173"/>
          <a:ext cx="40746" cy="6988833"/>
        </a:xfrm>
        <a:prstGeom prst="line">
          <a:avLst/>
        </a:prstGeom>
        <a:ln w="38100">
          <a:solidFill>
            <a:srgbClr val="278C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213360</xdr:colOff>
      <xdr:row>10</xdr:row>
      <xdr:rowOff>92876</xdr:rowOff>
    </xdr:from>
    <xdr:to>
      <xdr:col>11</xdr:col>
      <xdr:colOff>251619</xdr:colOff>
      <xdr:row>40</xdr:row>
      <xdr:rowOff>45720</xdr:rowOff>
    </xdr:to>
    <xdr:cxnSp macro="">
      <xdr:nvCxnSpPr>
        <xdr:cNvPr id="15" name="Conector recto 14">
          <a:extLst>
            <a:ext uri="{FF2B5EF4-FFF2-40B4-BE49-F238E27FC236}">
              <a16:creationId xmlns:a16="http://schemas.microsoft.com/office/drawing/2014/main" id="{9069B4A5-2154-C844-88E6-CC6D98BBAD46}"/>
            </a:ext>
          </a:extLst>
        </xdr:cNvPr>
        <xdr:cNvCxnSpPr/>
      </xdr:nvCxnSpPr>
      <xdr:spPr>
        <a:xfrm flipH="1">
          <a:off x="10796693" y="2500584"/>
          <a:ext cx="38259" cy="7070136"/>
        </a:xfrm>
        <a:prstGeom prst="line">
          <a:avLst/>
        </a:prstGeom>
        <a:ln w="38100">
          <a:solidFill>
            <a:srgbClr val="278C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228600</xdr:colOff>
      <xdr:row>10</xdr:row>
      <xdr:rowOff>86526</xdr:rowOff>
    </xdr:from>
    <xdr:to>
      <xdr:col>14</xdr:col>
      <xdr:colOff>265114</xdr:colOff>
      <xdr:row>39</xdr:row>
      <xdr:rowOff>182880</xdr:rowOff>
    </xdr:to>
    <xdr:cxnSp macro="">
      <xdr:nvCxnSpPr>
        <xdr:cNvPr id="16" name="Conector recto 15">
          <a:extLst>
            <a:ext uri="{FF2B5EF4-FFF2-40B4-BE49-F238E27FC236}">
              <a16:creationId xmlns:a16="http://schemas.microsoft.com/office/drawing/2014/main" id="{E7388F77-9726-1E40-9EF6-0C0F1F49B7FA}"/>
            </a:ext>
          </a:extLst>
        </xdr:cNvPr>
        <xdr:cNvCxnSpPr/>
      </xdr:nvCxnSpPr>
      <xdr:spPr>
        <a:xfrm flipH="1">
          <a:off x="14584680" y="2494446"/>
          <a:ext cx="36514" cy="6969594"/>
        </a:xfrm>
        <a:prstGeom prst="line">
          <a:avLst/>
        </a:prstGeom>
        <a:ln w="38100">
          <a:solidFill>
            <a:srgbClr val="278C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130437</xdr:colOff>
      <xdr:row>10</xdr:row>
      <xdr:rowOff>143392</xdr:rowOff>
    </xdr:from>
    <xdr:to>
      <xdr:col>4</xdr:col>
      <xdr:colOff>130437</xdr:colOff>
      <xdr:row>40</xdr:row>
      <xdr:rowOff>102911</xdr:rowOff>
    </xdr:to>
    <xdr:cxnSp macro="">
      <xdr:nvCxnSpPr>
        <xdr:cNvPr id="17" name="Conector recto 16">
          <a:extLst>
            <a:ext uri="{FF2B5EF4-FFF2-40B4-BE49-F238E27FC236}">
              <a16:creationId xmlns:a16="http://schemas.microsoft.com/office/drawing/2014/main" id="{4BC44A7A-361C-A84D-8060-6936DC37FC0B}"/>
            </a:ext>
          </a:extLst>
        </xdr:cNvPr>
        <xdr:cNvCxnSpPr/>
      </xdr:nvCxnSpPr>
      <xdr:spPr>
        <a:xfrm flipH="1">
          <a:off x="5119723" y="2529178"/>
          <a:ext cx="0" cy="6998947"/>
        </a:xfrm>
        <a:prstGeom prst="line">
          <a:avLst/>
        </a:prstGeom>
        <a:ln w="38100">
          <a:solidFill>
            <a:srgbClr val="278C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152400</xdr:colOff>
      <xdr:row>10</xdr:row>
      <xdr:rowOff>99225</xdr:rowOff>
    </xdr:from>
    <xdr:to>
      <xdr:col>17</xdr:col>
      <xdr:colOff>152400</xdr:colOff>
      <xdr:row>39</xdr:row>
      <xdr:rowOff>182880</xdr:rowOff>
    </xdr:to>
    <xdr:cxnSp macro="">
      <xdr:nvCxnSpPr>
        <xdr:cNvPr id="19" name="Conector recto 18">
          <a:extLst>
            <a:ext uri="{FF2B5EF4-FFF2-40B4-BE49-F238E27FC236}">
              <a16:creationId xmlns:a16="http://schemas.microsoft.com/office/drawing/2014/main" id="{874F8C66-2EB1-A54D-8784-3D8218E917A3}"/>
            </a:ext>
          </a:extLst>
        </xdr:cNvPr>
        <xdr:cNvCxnSpPr/>
      </xdr:nvCxnSpPr>
      <xdr:spPr>
        <a:xfrm flipH="1">
          <a:off x="17251680" y="2507145"/>
          <a:ext cx="0" cy="6956895"/>
        </a:xfrm>
        <a:prstGeom prst="line">
          <a:avLst/>
        </a:prstGeom>
        <a:ln w="38100">
          <a:solidFill>
            <a:srgbClr val="278C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50800</xdr:colOff>
      <xdr:row>17</xdr:row>
      <xdr:rowOff>12700</xdr:rowOff>
    </xdr:from>
    <xdr:to>
      <xdr:col>0</xdr:col>
      <xdr:colOff>561885</xdr:colOff>
      <xdr:row>19</xdr:row>
      <xdr:rowOff>59510</xdr:rowOff>
    </xdr:to>
    <xdr:pic>
      <xdr:nvPicPr>
        <xdr:cNvPr id="2" name="Gráfico 1" descr="Información con relleno sólido">
          <a:hlinkClick xmlns:r="http://schemas.openxmlformats.org/officeDocument/2006/relationships" r:id="rId2"/>
          <a:extLst>
            <a:ext uri="{FF2B5EF4-FFF2-40B4-BE49-F238E27FC236}">
              <a16:creationId xmlns:a16="http://schemas.microsoft.com/office/drawing/2014/main" id="{C7F3327F-193E-4775-BBB7-1E5DF34F3FB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0800" y="4025900"/>
          <a:ext cx="517435" cy="511630"/>
        </a:xfrm>
        <a:prstGeom prst="rect">
          <a:avLst/>
        </a:prstGeom>
      </xdr:spPr>
    </xdr:pic>
    <xdr:clientData/>
  </xdr:twoCellAnchor>
  <xdr:twoCellAnchor editAs="oneCell">
    <xdr:from>
      <xdr:col>0</xdr:col>
      <xdr:colOff>127000</xdr:colOff>
      <xdr:row>26</xdr:row>
      <xdr:rowOff>215900</xdr:rowOff>
    </xdr:from>
    <xdr:to>
      <xdr:col>0</xdr:col>
      <xdr:colOff>553204</xdr:colOff>
      <xdr:row>28</xdr:row>
      <xdr:rowOff>172609</xdr:rowOff>
    </xdr:to>
    <xdr:pic>
      <xdr:nvPicPr>
        <xdr:cNvPr id="14" name="Imagen 13">
          <a:hlinkClick xmlns:r="http://schemas.openxmlformats.org/officeDocument/2006/relationships" r:id="rId5"/>
          <a:extLst>
            <a:ext uri="{FF2B5EF4-FFF2-40B4-BE49-F238E27FC236}">
              <a16:creationId xmlns:a16="http://schemas.microsoft.com/office/drawing/2014/main" id="{84A1C408-314C-B690-1762-3337BB1FCD7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27000" y="6515100"/>
          <a:ext cx="412869" cy="410099"/>
        </a:xfrm>
        <a:prstGeom prst="rect">
          <a:avLst/>
        </a:prstGeom>
      </xdr:spPr>
    </xdr:pic>
    <xdr:clientData/>
  </xdr:twoCellAnchor>
  <xdr:twoCellAnchor editAs="oneCell">
    <xdr:from>
      <xdr:col>9</xdr:col>
      <xdr:colOff>128693</xdr:colOff>
      <xdr:row>10</xdr:row>
      <xdr:rowOff>132504</xdr:rowOff>
    </xdr:from>
    <xdr:to>
      <xdr:col>11</xdr:col>
      <xdr:colOff>54186</xdr:colOff>
      <xdr:row>16</xdr:row>
      <xdr:rowOff>212514</xdr:rowOff>
    </xdr:to>
    <xdr:pic>
      <xdr:nvPicPr>
        <xdr:cNvPr id="1666210" name="Picture 57506">
          <a:extLst>
            <a:ext uri="{FF2B5EF4-FFF2-40B4-BE49-F238E27FC236}">
              <a16:creationId xmlns:a16="http://schemas.microsoft.com/office/drawing/2014/main" id="{90528BCB-FF20-2019-C02F-A2BEA7C78355}"/>
            </a:ext>
          </a:extLst>
        </xdr:cNvPr>
        <xdr:cNvPicPr>
          <a:picLocks noChangeAspect="1"/>
        </xdr:cNvPicPr>
      </xdr:nvPicPr>
      <xdr:blipFill>
        <a:blip xmlns:r="http://schemas.openxmlformats.org/officeDocument/2006/relationships" r:embed="rId7"/>
        <a:srcRect l="3773" t="2371" r="5190" b="2371"/>
        <a:stretch>
          <a:fillRect/>
        </a:stretch>
      </xdr:blipFill>
      <xdr:spPr bwMode="auto">
        <a:xfrm>
          <a:off x="9615593" y="2532804"/>
          <a:ext cx="2300393" cy="1457960"/>
        </a:xfrm>
        <a:prstGeom prst="rect">
          <a:avLst/>
        </a:prstGeom>
        <a:noFill/>
        <a:ln w="28575">
          <a:solidFill>
            <a:srgbClr val="92D05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6350</xdr:colOff>
      <xdr:row>10</xdr:row>
      <xdr:rowOff>126153</xdr:rowOff>
    </xdr:from>
    <xdr:to>
      <xdr:col>17</xdr:col>
      <xdr:colOff>17779</xdr:colOff>
      <xdr:row>16</xdr:row>
      <xdr:rowOff>199813</xdr:rowOff>
    </xdr:to>
    <xdr:pic>
      <xdr:nvPicPr>
        <xdr:cNvPr id="1666211" name="Picture 57507">
          <a:extLst>
            <a:ext uri="{FF2B5EF4-FFF2-40B4-BE49-F238E27FC236}">
              <a16:creationId xmlns:a16="http://schemas.microsoft.com/office/drawing/2014/main" id="{28C36475-48E8-8E1E-BECC-0E3C1F552811}"/>
            </a:ext>
          </a:extLst>
        </xdr:cNvPr>
        <xdr:cNvPicPr>
          <a:picLocks noChangeAspect="1"/>
        </xdr:cNvPicPr>
      </xdr:nvPicPr>
      <xdr:blipFill>
        <a:blip xmlns:r="http://schemas.openxmlformats.org/officeDocument/2006/relationships" r:embed="rId8"/>
        <a:srcRect t="3436" b="4123"/>
        <a:stretch>
          <a:fillRect/>
        </a:stretch>
      </xdr:blipFill>
      <xdr:spPr bwMode="auto">
        <a:xfrm>
          <a:off x="15119350" y="2560320"/>
          <a:ext cx="2378287" cy="1473200"/>
        </a:xfrm>
        <a:prstGeom prst="rect">
          <a:avLst/>
        </a:prstGeom>
        <a:noFill/>
        <a:ln w="28575">
          <a:solidFill>
            <a:srgbClr val="92D05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420370</xdr:colOff>
      <xdr:row>10</xdr:row>
      <xdr:rowOff>138430</xdr:rowOff>
    </xdr:from>
    <xdr:to>
      <xdr:col>14</xdr:col>
      <xdr:colOff>96519</xdr:colOff>
      <xdr:row>16</xdr:row>
      <xdr:rowOff>208915</xdr:rowOff>
    </xdr:to>
    <xdr:pic>
      <xdr:nvPicPr>
        <xdr:cNvPr id="1666212" name="Picture 57508">
          <a:extLst>
            <a:ext uri="{FF2B5EF4-FFF2-40B4-BE49-F238E27FC236}">
              <a16:creationId xmlns:a16="http://schemas.microsoft.com/office/drawing/2014/main" id="{69CC4BF9-D737-F055-B4F1-CE0E6D1D30D4}"/>
            </a:ext>
          </a:extLst>
        </xdr:cNvPr>
        <xdr:cNvPicPr>
          <a:picLocks noChangeAspect="1"/>
        </xdr:cNvPicPr>
      </xdr:nvPicPr>
      <xdr:blipFill>
        <a:blip xmlns:r="http://schemas.openxmlformats.org/officeDocument/2006/relationships" r:embed="rId9"/>
        <a:srcRect l="5145" t="7556" r="4993" b="4614"/>
        <a:stretch>
          <a:fillRect/>
        </a:stretch>
      </xdr:blipFill>
      <xdr:spPr bwMode="auto">
        <a:xfrm>
          <a:off x="12316037" y="2572597"/>
          <a:ext cx="2473960" cy="1480820"/>
        </a:xfrm>
        <a:prstGeom prst="rect">
          <a:avLst/>
        </a:prstGeom>
        <a:noFill/>
        <a:ln w="28575">
          <a:solidFill>
            <a:srgbClr val="92D05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120227</xdr:colOff>
      <xdr:row>10</xdr:row>
      <xdr:rowOff>120651</xdr:rowOff>
    </xdr:from>
    <xdr:to>
      <xdr:col>8</xdr:col>
      <xdr:colOff>55456</xdr:colOff>
      <xdr:row>16</xdr:row>
      <xdr:rowOff>189231</xdr:rowOff>
    </xdr:to>
    <xdr:pic>
      <xdr:nvPicPr>
        <xdr:cNvPr id="1666213" name="Picture 57509">
          <a:extLst>
            <a:ext uri="{FF2B5EF4-FFF2-40B4-BE49-F238E27FC236}">
              <a16:creationId xmlns:a16="http://schemas.microsoft.com/office/drawing/2014/main" id="{C9607071-C01C-EF60-5537-87915AA9B9C5}"/>
            </a:ext>
          </a:extLst>
        </xdr:cNvPr>
        <xdr:cNvPicPr>
          <a:picLocks noChangeAspect="1"/>
        </xdr:cNvPicPr>
      </xdr:nvPicPr>
      <xdr:blipFill>
        <a:blip xmlns:r="http://schemas.openxmlformats.org/officeDocument/2006/relationships" r:embed="rId10"/>
        <a:srcRect t="6244" r="3670" b="6329"/>
        <a:stretch>
          <a:fillRect/>
        </a:stretch>
      </xdr:blipFill>
      <xdr:spPr bwMode="auto">
        <a:xfrm>
          <a:off x="6745394" y="2554818"/>
          <a:ext cx="2333836" cy="1465580"/>
        </a:xfrm>
        <a:prstGeom prst="rect">
          <a:avLst/>
        </a:prstGeom>
        <a:noFill/>
        <a:ln w="28575">
          <a:solidFill>
            <a:srgbClr val="92D05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63694</xdr:colOff>
      <xdr:row>24</xdr:row>
      <xdr:rowOff>123222</xdr:rowOff>
    </xdr:from>
    <xdr:to>
      <xdr:col>33</xdr:col>
      <xdr:colOff>102299</xdr:colOff>
      <xdr:row>29</xdr:row>
      <xdr:rowOff>31533</xdr:rowOff>
    </xdr:to>
    <xdr:pic>
      <xdr:nvPicPr>
        <xdr:cNvPr id="2" name="Imagen 1">
          <a:extLst>
            <a:ext uri="{FF2B5EF4-FFF2-40B4-BE49-F238E27FC236}">
              <a16:creationId xmlns:a16="http://schemas.microsoft.com/office/drawing/2014/main" id="{52AE2B9C-2FD1-4584-906D-0DD8DD4484CB}"/>
            </a:ext>
          </a:extLst>
        </xdr:cNvPr>
        <xdr:cNvPicPr>
          <a:picLocks noChangeAspect="1"/>
        </xdr:cNvPicPr>
      </xdr:nvPicPr>
      <xdr:blipFill>
        <a:blip xmlns:r="http://schemas.openxmlformats.org/officeDocument/2006/relationships" r:embed="rId1"/>
        <a:stretch>
          <a:fillRect/>
        </a:stretch>
      </xdr:blipFill>
      <xdr:spPr>
        <a:xfrm>
          <a:off x="14203027" y="4187222"/>
          <a:ext cx="2899280" cy="75815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52917</xdr:colOff>
          <xdr:row>30</xdr:row>
          <xdr:rowOff>21165</xdr:rowOff>
        </xdr:from>
        <xdr:to>
          <xdr:col>7</xdr:col>
          <xdr:colOff>266584</xdr:colOff>
          <xdr:row>48</xdr:row>
          <xdr:rowOff>21166</xdr:rowOff>
        </xdr:to>
        <xdr:pic>
          <xdr:nvPicPr>
            <xdr:cNvPr id="1536478" name="Imagen 2">
              <a:extLst>
                <a:ext uri="{FF2B5EF4-FFF2-40B4-BE49-F238E27FC236}">
                  <a16:creationId xmlns:a16="http://schemas.microsoft.com/office/drawing/2014/main" id="{DF903B4C-CBD4-39AF-ABDC-D6FFD1C2AA5D}"/>
                </a:ext>
              </a:extLst>
            </xdr:cNvPr>
            <xdr:cNvPicPr>
              <a:picLocks noChangeAspect="1" noChangeArrowheads="1"/>
              <a:extLst>
                <a:ext uri="{84589F7E-364E-4C9E-8A38-B11213B215E9}">
                  <a14:cameraTool cellRange="Superficie_Inclinada" spid="_x0000_s2036248"/>
                </a:ext>
              </a:extLst>
            </xdr:cNvPicPr>
          </xdr:nvPicPr>
          <xdr:blipFill rotWithShape="1">
            <a:blip xmlns:r="http://schemas.openxmlformats.org/officeDocument/2006/relationships" r:embed="rId2"/>
            <a:srcRect l="2654" t="2380"/>
            <a:stretch>
              <a:fillRect/>
            </a:stretch>
          </xdr:blipFill>
          <xdr:spPr bwMode="auto">
            <a:xfrm>
              <a:off x="52917" y="5153459"/>
              <a:ext cx="6436667" cy="3092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30</xdr:row>
          <xdr:rowOff>19050</xdr:rowOff>
        </xdr:from>
        <xdr:to>
          <xdr:col>7</xdr:col>
          <xdr:colOff>266700</xdr:colOff>
          <xdr:row>48</xdr:row>
          <xdr:rowOff>19050</xdr:rowOff>
        </xdr:to>
        <xdr:pic>
          <xdr:nvPicPr>
            <xdr:cNvPr id="1953856" name="Imagen 2">
              <a:extLst>
                <a:ext uri="{FF2B5EF4-FFF2-40B4-BE49-F238E27FC236}">
                  <a16:creationId xmlns:a16="http://schemas.microsoft.com/office/drawing/2014/main" id="{021AF33A-741C-5875-29CC-F05AB71D6382}"/>
                </a:ext>
              </a:extLst>
            </xdr:cNvPr>
            <xdr:cNvPicPr>
              <a:picLocks noChangeAspect="1" noChangeArrowheads="1"/>
              <a:extLst>
                <a:ext uri="{84589F7E-364E-4C9E-8A38-B11213B215E9}">
                  <a14:cameraTool cellRange="Superficie_Inclinada" spid="_x0000_s2036249"/>
                </a:ext>
              </a:extLst>
            </xdr:cNvPicPr>
          </xdr:nvPicPr>
          <xdr:blipFill>
            <a:blip xmlns:r="http://schemas.openxmlformats.org/officeDocument/2006/relationships" r:embed="rId3"/>
            <a:srcRect l="2654" t="2380"/>
            <a:stretch>
              <a:fillRect/>
            </a:stretch>
          </xdr:blipFill>
          <xdr:spPr bwMode="auto">
            <a:xfrm>
              <a:off x="50800" y="5143500"/>
              <a:ext cx="6445250" cy="30861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30</xdr:row>
          <xdr:rowOff>19050</xdr:rowOff>
        </xdr:from>
        <xdr:to>
          <xdr:col>7</xdr:col>
          <xdr:colOff>266700</xdr:colOff>
          <xdr:row>48</xdr:row>
          <xdr:rowOff>19050</xdr:rowOff>
        </xdr:to>
        <xdr:pic>
          <xdr:nvPicPr>
            <xdr:cNvPr id="1987180" name="Imagen 2">
              <a:extLst>
                <a:ext uri="{FF2B5EF4-FFF2-40B4-BE49-F238E27FC236}">
                  <a16:creationId xmlns:a16="http://schemas.microsoft.com/office/drawing/2014/main" id="{DF94A1E2-602D-FC4D-774C-B2109E775538}"/>
                </a:ext>
              </a:extLst>
            </xdr:cNvPr>
            <xdr:cNvPicPr>
              <a:picLocks noChangeAspect="1" noChangeArrowheads="1"/>
              <a:extLst>
                <a:ext uri="{84589F7E-364E-4C9E-8A38-B11213B215E9}">
                  <a14:cameraTool cellRange="Superficie_Inclinada" spid="_x0000_s2036250"/>
                </a:ext>
              </a:extLst>
            </xdr:cNvPicPr>
          </xdr:nvPicPr>
          <xdr:blipFill>
            <a:blip xmlns:r="http://schemas.openxmlformats.org/officeDocument/2006/relationships" r:embed="rId3"/>
            <a:srcRect l="2654" t="2380"/>
            <a:stretch>
              <a:fillRect/>
            </a:stretch>
          </xdr:blipFill>
          <xdr:spPr bwMode="auto">
            <a:xfrm>
              <a:off x="50800" y="5314950"/>
              <a:ext cx="6451600" cy="30861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30</xdr:row>
          <xdr:rowOff>19050</xdr:rowOff>
        </xdr:from>
        <xdr:to>
          <xdr:col>7</xdr:col>
          <xdr:colOff>266700</xdr:colOff>
          <xdr:row>48</xdr:row>
          <xdr:rowOff>19050</xdr:rowOff>
        </xdr:to>
        <xdr:pic>
          <xdr:nvPicPr>
            <xdr:cNvPr id="1987181" name="Picture 7789">
              <a:extLst>
                <a:ext uri="{FF2B5EF4-FFF2-40B4-BE49-F238E27FC236}">
                  <a16:creationId xmlns:a16="http://schemas.microsoft.com/office/drawing/2014/main" id="{01974B57-6120-C34C-4B40-9AC111857C16}"/>
                </a:ext>
              </a:extLst>
            </xdr:cNvPr>
            <xdr:cNvPicPr>
              <a:picLocks noChangeAspect="1" noChangeArrowheads="1"/>
              <a:extLst>
                <a:ext uri="{84589F7E-364E-4C9E-8A38-B11213B215E9}">
                  <a14:cameraTool cellRange="Superficie_Inclinada" spid="_x0000_s2036251"/>
                </a:ext>
              </a:extLst>
            </xdr:cNvPicPr>
          </xdr:nvPicPr>
          <xdr:blipFill>
            <a:blip xmlns:r="http://schemas.openxmlformats.org/officeDocument/2006/relationships" r:embed="rId4"/>
            <a:srcRect l="2654" t="2380"/>
            <a:stretch>
              <a:fillRect/>
            </a:stretch>
          </xdr:blipFill>
          <xdr:spPr bwMode="auto">
            <a:xfrm>
              <a:off x="50800" y="5347528"/>
              <a:ext cx="6441661" cy="310597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27</xdr:col>
      <xdr:colOff>52916</xdr:colOff>
      <xdr:row>0</xdr:row>
      <xdr:rowOff>116417</xdr:rowOff>
    </xdr:from>
    <xdr:to>
      <xdr:col>38</xdr:col>
      <xdr:colOff>505883</xdr:colOff>
      <xdr:row>23</xdr:row>
      <xdr:rowOff>142538</xdr:rowOff>
    </xdr:to>
    <xdr:pic>
      <xdr:nvPicPr>
        <xdr:cNvPr id="5" name="Imagen 4">
          <a:extLst>
            <a:ext uri="{FF2B5EF4-FFF2-40B4-BE49-F238E27FC236}">
              <a16:creationId xmlns:a16="http://schemas.microsoft.com/office/drawing/2014/main" id="{078661B1-DFAB-6566-45F2-97A947C09AB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229291" y="116417"/>
          <a:ext cx="5966355" cy="40155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736206</xdr:colOff>
          <xdr:row>38</xdr:row>
          <xdr:rowOff>112707</xdr:rowOff>
        </xdr:from>
        <xdr:to>
          <xdr:col>6</xdr:col>
          <xdr:colOff>269214</xdr:colOff>
          <xdr:row>48</xdr:row>
          <xdr:rowOff>152400</xdr:rowOff>
        </xdr:to>
        <xdr:pic>
          <xdr:nvPicPr>
            <xdr:cNvPr id="2" name="Imagen 1">
              <a:extLst>
                <a:ext uri="{FF2B5EF4-FFF2-40B4-BE49-F238E27FC236}">
                  <a16:creationId xmlns:a16="http://schemas.microsoft.com/office/drawing/2014/main" id="{2BEDDE64-8E42-4D13-801B-2F6CD53EE229}"/>
                </a:ext>
              </a:extLst>
            </xdr:cNvPr>
            <xdr:cNvPicPr>
              <a:picLocks noChangeAspect="1"/>
              <a:extLst>
                <a:ext uri="{84589F7E-364E-4C9E-8A38-B11213B215E9}">
                  <a14:cameraTool cellRange="Una_Fila" spid="_x0000_s2019496"/>
                </a:ext>
              </a:extLst>
            </xdr:cNvPicPr>
          </xdr:nvPicPr>
          <xdr:blipFill rotWithShape="1">
            <a:blip xmlns:r="http://schemas.openxmlformats.org/officeDocument/2006/relationships" r:embed="rId1"/>
            <a:srcRect l="2818" t="1" r="2289" b="1366"/>
            <a:stretch>
              <a:fillRect/>
            </a:stretch>
          </xdr:blipFill>
          <xdr:spPr>
            <a:xfrm>
              <a:off x="736206" y="6922535"/>
              <a:ext cx="5576456" cy="1791417"/>
            </a:xfrm>
            <a:prstGeom prst="rect">
              <a:avLst/>
            </a:prstGeom>
          </xdr:spPr>
        </xdr:pic>
        <xdr:clientData/>
      </xdr:twoCellAnchor>
    </mc:Choice>
    <mc:Fallback/>
  </mc:AlternateContent>
  <xdr:twoCellAnchor editAs="oneCell">
    <xdr:from>
      <xdr:col>28</xdr:col>
      <xdr:colOff>76491</xdr:colOff>
      <xdr:row>25</xdr:row>
      <xdr:rowOff>125632</xdr:rowOff>
    </xdr:from>
    <xdr:to>
      <xdr:col>35</xdr:col>
      <xdr:colOff>427025</xdr:colOff>
      <xdr:row>29</xdr:row>
      <xdr:rowOff>117049</xdr:rowOff>
    </xdr:to>
    <xdr:pic>
      <xdr:nvPicPr>
        <xdr:cNvPr id="4" name="Imagen 3">
          <a:extLst>
            <a:ext uri="{FF2B5EF4-FFF2-40B4-BE49-F238E27FC236}">
              <a16:creationId xmlns:a16="http://schemas.microsoft.com/office/drawing/2014/main" id="{89C8778D-4C48-44BE-874C-32759E09703B}"/>
            </a:ext>
          </a:extLst>
        </xdr:cNvPr>
        <xdr:cNvPicPr>
          <a:picLocks noChangeAspect="1"/>
        </xdr:cNvPicPr>
      </xdr:nvPicPr>
      <xdr:blipFill rotWithShape="1">
        <a:blip xmlns:r="http://schemas.openxmlformats.org/officeDocument/2006/relationships" r:embed="rId2"/>
        <a:srcRect t="8644" b="5082"/>
        <a:stretch/>
      </xdr:blipFill>
      <xdr:spPr>
        <a:xfrm>
          <a:off x="13877158" y="4358965"/>
          <a:ext cx="2498950" cy="668751"/>
        </a:xfrm>
        <a:prstGeom prst="rect">
          <a:avLst/>
        </a:prstGeom>
      </xdr:spPr>
    </xdr:pic>
    <xdr:clientData/>
  </xdr:twoCellAnchor>
  <xdr:twoCellAnchor editAs="oneCell">
    <xdr:from>
      <xdr:col>28</xdr:col>
      <xdr:colOff>148165</xdr:colOff>
      <xdr:row>1</xdr:row>
      <xdr:rowOff>21167</xdr:rowOff>
    </xdr:from>
    <xdr:to>
      <xdr:col>43</xdr:col>
      <xdr:colOff>240241</xdr:colOff>
      <xdr:row>25</xdr:row>
      <xdr:rowOff>26459</xdr:rowOff>
    </xdr:to>
    <xdr:pic>
      <xdr:nvPicPr>
        <xdr:cNvPr id="6" name="Imagen 5">
          <a:extLst>
            <a:ext uri="{FF2B5EF4-FFF2-40B4-BE49-F238E27FC236}">
              <a16:creationId xmlns:a16="http://schemas.microsoft.com/office/drawing/2014/main" id="{6547A184-5384-9657-BFB1-90AEEF86F93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948832" y="190500"/>
          <a:ext cx="6050492" cy="40692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30</xdr:col>
      <xdr:colOff>149648</xdr:colOff>
      <xdr:row>25</xdr:row>
      <xdr:rowOff>74830</xdr:rowOff>
    </xdr:from>
    <xdr:to>
      <xdr:col>38</xdr:col>
      <xdr:colOff>85818</xdr:colOff>
      <xdr:row>31</xdr:row>
      <xdr:rowOff>64759</xdr:rowOff>
    </xdr:to>
    <xdr:pic>
      <xdr:nvPicPr>
        <xdr:cNvPr id="4" name="Imagen 3">
          <a:extLst>
            <a:ext uri="{FF2B5EF4-FFF2-40B4-BE49-F238E27FC236}">
              <a16:creationId xmlns:a16="http://schemas.microsoft.com/office/drawing/2014/main" id="{086265DA-12DE-4EBC-A1B4-0C976019E086}"/>
            </a:ext>
          </a:extLst>
        </xdr:cNvPr>
        <xdr:cNvPicPr>
          <a:picLocks noChangeAspect="1"/>
        </xdr:cNvPicPr>
      </xdr:nvPicPr>
      <xdr:blipFill>
        <a:blip xmlns:r="http://schemas.openxmlformats.org/officeDocument/2006/relationships" r:embed="rId1"/>
        <a:stretch>
          <a:fillRect/>
        </a:stretch>
      </xdr:blipFill>
      <xdr:spPr>
        <a:xfrm>
          <a:off x="14310148" y="4308163"/>
          <a:ext cx="3538736" cy="101227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507365</xdr:colOff>
          <xdr:row>41</xdr:row>
          <xdr:rowOff>6402</xdr:rowOff>
        </xdr:from>
        <xdr:to>
          <xdr:col>5</xdr:col>
          <xdr:colOff>196863</xdr:colOff>
          <xdr:row>48</xdr:row>
          <xdr:rowOff>161264</xdr:rowOff>
        </xdr:to>
        <xdr:pic>
          <xdr:nvPicPr>
            <xdr:cNvPr id="6" name="Imagen 5">
              <a:extLst>
                <a:ext uri="{FF2B5EF4-FFF2-40B4-BE49-F238E27FC236}">
                  <a16:creationId xmlns:a16="http://schemas.microsoft.com/office/drawing/2014/main" id="{CFDDCAA5-0DD6-4D14-AA0C-C2CC8CE6E17A}"/>
                </a:ext>
              </a:extLst>
            </xdr:cNvPr>
            <xdr:cNvPicPr>
              <a:picLocks noChangeAspect="1"/>
              <a:extLst>
                <a:ext uri="{84589F7E-364E-4C9E-8A38-B11213B215E9}">
                  <a14:cameraTool cellRange="Dos_Filas" spid="_x0000_s2053361"/>
                </a:ext>
              </a:extLst>
            </xdr:cNvPicPr>
          </xdr:nvPicPr>
          <xdr:blipFill rotWithShape="1">
            <a:blip xmlns:r="http://schemas.openxmlformats.org/officeDocument/2006/relationships" r:embed="rId2"/>
            <a:srcRect b="8304"/>
            <a:stretch>
              <a:fillRect/>
            </a:stretch>
          </xdr:blipFill>
          <xdr:spPr>
            <a:xfrm>
              <a:off x="1255026" y="7247450"/>
              <a:ext cx="4244612" cy="136571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41</xdr:row>
          <xdr:rowOff>6350</xdr:rowOff>
        </xdr:from>
        <xdr:to>
          <xdr:col>5</xdr:col>
          <xdr:colOff>202880</xdr:colOff>
          <xdr:row>48</xdr:row>
          <xdr:rowOff>160338</xdr:rowOff>
        </xdr:to>
        <xdr:pic>
          <xdr:nvPicPr>
            <xdr:cNvPr id="1971624" name="Imagen 5">
              <a:extLst>
                <a:ext uri="{FF2B5EF4-FFF2-40B4-BE49-F238E27FC236}">
                  <a16:creationId xmlns:a16="http://schemas.microsoft.com/office/drawing/2014/main" id="{16BFB10C-DF01-6F72-BEFB-1C71A2DD916B}"/>
                </a:ext>
              </a:extLst>
            </xdr:cNvPr>
            <xdr:cNvPicPr>
              <a:picLocks noChangeAspect="1" noChangeArrowheads="1"/>
              <a:extLst>
                <a:ext uri="{84589F7E-364E-4C9E-8A38-B11213B215E9}">
                  <a14:cameraTool cellRange="Dos_Filas" spid="_x0000_s2053362"/>
                </a:ext>
              </a:extLst>
            </xdr:cNvPicPr>
          </xdr:nvPicPr>
          <xdr:blipFill>
            <a:blip xmlns:r="http://schemas.openxmlformats.org/officeDocument/2006/relationships" r:embed="rId3"/>
            <a:srcRect b="8304"/>
            <a:stretch>
              <a:fillRect/>
            </a:stretch>
          </xdr:blipFill>
          <xdr:spPr bwMode="auto">
            <a:xfrm>
              <a:off x="1263650" y="7156450"/>
              <a:ext cx="4254500" cy="13462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41</xdr:row>
          <xdr:rowOff>6350</xdr:rowOff>
        </xdr:from>
        <xdr:to>
          <xdr:col>5</xdr:col>
          <xdr:colOff>202880</xdr:colOff>
          <xdr:row>48</xdr:row>
          <xdr:rowOff>160338</xdr:rowOff>
        </xdr:to>
        <xdr:pic>
          <xdr:nvPicPr>
            <xdr:cNvPr id="1971720" name="Imagen 5">
              <a:extLst>
                <a:ext uri="{FF2B5EF4-FFF2-40B4-BE49-F238E27FC236}">
                  <a16:creationId xmlns:a16="http://schemas.microsoft.com/office/drawing/2014/main" id="{A83B04D2-C38C-F5BE-2534-6ADBC74603D9}"/>
                </a:ext>
              </a:extLst>
            </xdr:cNvPr>
            <xdr:cNvPicPr>
              <a:picLocks noChangeAspect="1" noChangeArrowheads="1"/>
              <a:extLst>
                <a:ext uri="{84589F7E-364E-4C9E-8A38-B11213B215E9}">
                  <a14:cameraTool cellRange="Dos_Filas" spid="_x0000_s2053363"/>
                </a:ext>
              </a:extLst>
            </xdr:cNvPicPr>
          </xdr:nvPicPr>
          <xdr:blipFill>
            <a:blip xmlns:r="http://schemas.openxmlformats.org/officeDocument/2006/relationships" r:embed="rId4"/>
            <a:srcRect b="8304"/>
            <a:stretch>
              <a:fillRect/>
            </a:stretch>
          </xdr:blipFill>
          <xdr:spPr bwMode="auto">
            <a:xfrm>
              <a:off x="1263650" y="7156450"/>
              <a:ext cx="4254500" cy="13462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41</xdr:row>
          <xdr:rowOff>6350</xdr:rowOff>
        </xdr:from>
        <xdr:to>
          <xdr:col>5</xdr:col>
          <xdr:colOff>202880</xdr:colOff>
          <xdr:row>48</xdr:row>
          <xdr:rowOff>160338</xdr:rowOff>
        </xdr:to>
        <xdr:pic>
          <xdr:nvPicPr>
            <xdr:cNvPr id="1971721" name="Picture 15881">
              <a:extLst>
                <a:ext uri="{FF2B5EF4-FFF2-40B4-BE49-F238E27FC236}">
                  <a16:creationId xmlns:a16="http://schemas.microsoft.com/office/drawing/2014/main" id="{6ED87276-C249-D059-82C0-F5455E80014A}"/>
                </a:ext>
              </a:extLst>
            </xdr:cNvPr>
            <xdr:cNvPicPr>
              <a:picLocks noChangeAspect="1" noChangeArrowheads="1"/>
              <a:extLst>
                <a:ext uri="{84589F7E-364E-4C9E-8A38-B11213B215E9}">
                  <a14:cameraTool cellRange="Dos_Filas" spid="_x0000_s2053364"/>
                </a:ext>
              </a:extLst>
            </xdr:cNvPicPr>
          </xdr:nvPicPr>
          <xdr:blipFill>
            <a:blip xmlns:r="http://schemas.openxmlformats.org/officeDocument/2006/relationships" r:embed="rId3"/>
            <a:srcRect b="8304"/>
            <a:stretch>
              <a:fillRect/>
            </a:stretch>
          </xdr:blipFill>
          <xdr:spPr bwMode="auto">
            <a:xfrm>
              <a:off x="1263650" y="7156450"/>
              <a:ext cx="4254500" cy="13462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30</xdr:col>
      <xdr:colOff>0</xdr:colOff>
      <xdr:row>0</xdr:row>
      <xdr:rowOff>105834</xdr:rowOff>
    </xdr:from>
    <xdr:to>
      <xdr:col>43</xdr:col>
      <xdr:colOff>237067</xdr:colOff>
      <xdr:row>25</xdr:row>
      <xdr:rowOff>66002</xdr:rowOff>
    </xdr:to>
    <xdr:pic>
      <xdr:nvPicPr>
        <xdr:cNvPr id="5" name="Imagen 4">
          <a:extLst>
            <a:ext uri="{FF2B5EF4-FFF2-40B4-BE49-F238E27FC236}">
              <a16:creationId xmlns:a16="http://schemas.microsoft.com/office/drawing/2014/main" id="{C47A2FBE-3EB4-5145-B00D-3F5D854A4E8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160500" y="105834"/>
          <a:ext cx="6233583" cy="41935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304800</xdr:colOff>
      <xdr:row>28</xdr:row>
      <xdr:rowOff>158750</xdr:rowOff>
    </xdr:from>
    <xdr:to>
      <xdr:col>7</xdr:col>
      <xdr:colOff>18725</xdr:colOff>
      <xdr:row>48</xdr:row>
      <xdr:rowOff>85725</xdr:rowOff>
    </xdr:to>
    <xdr:pic>
      <xdr:nvPicPr>
        <xdr:cNvPr id="4" name="Imagen 3">
          <a:extLst>
            <a:ext uri="{FF2B5EF4-FFF2-40B4-BE49-F238E27FC236}">
              <a16:creationId xmlns:a16="http://schemas.microsoft.com/office/drawing/2014/main" id="{0582C005-3C8F-EE23-CA33-43F391BE5E01}"/>
            </a:ext>
          </a:extLst>
        </xdr:cNvPr>
        <xdr:cNvPicPr>
          <a:picLocks noChangeAspect="1"/>
        </xdr:cNvPicPr>
      </xdr:nvPicPr>
      <xdr:blipFill rotWithShape="1">
        <a:blip xmlns:r="http://schemas.openxmlformats.org/officeDocument/2006/relationships" r:embed="rId1"/>
        <a:srcRect l="3583" t="2077" b="19203"/>
        <a:stretch/>
      </xdr:blipFill>
      <xdr:spPr>
        <a:xfrm>
          <a:off x="304800" y="5247105"/>
          <a:ext cx="5771491" cy="3436186"/>
        </a:xfrm>
        <a:prstGeom prst="rect">
          <a:avLst/>
        </a:prstGeom>
      </xdr:spPr>
    </xdr:pic>
    <xdr:clientData/>
  </xdr:twoCellAnchor>
  <xdr:twoCellAnchor editAs="oneCell">
    <xdr:from>
      <xdr:col>9</xdr:col>
      <xdr:colOff>232832</xdr:colOff>
      <xdr:row>25</xdr:row>
      <xdr:rowOff>82276</xdr:rowOff>
    </xdr:from>
    <xdr:to>
      <xdr:col>24</xdr:col>
      <xdr:colOff>243417</xdr:colOff>
      <xdr:row>48</xdr:row>
      <xdr:rowOff>151454</xdr:rowOff>
    </xdr:to>
    <xdr:pic>
      <xdr:nvPicPr>
        <xdr:cNvPr id="5" name="Imagen 4">
          <a:extLst>
            <a:ext uri="{FF2B5EF4-FFF2-40B4-BE49-F238E27FC236}">
              <a16:creationId xmlns:a16="http://schemas.microsoft.com/office/drawing/2014/main" id="{AB812C8A-11FF-C896-7321-92EB2C06F0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52165" y="4654276"/>
          <a:ext cx="5884335" cy="39585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204864</xdr:colOff>
      <xdr:row>27</xdr:row>
      <xdr:rowOff>66738</xdr:rowOff>
    </xdr:from>
    <xdr:to>
      <xdr:col>18</xdr:col>
      <xdr:colOff>159810</xdr:colOff>
      <xdr:row>32</xdr:row>
      <xdr:rowOff>84732</xdr:rowOff>
    </xdr:to>
    <xdr:pic>
      <xdr:nvPicPr>
        <xdr:cNvPr id="2" name="Imagen 1">
          <a:extLst>
            <a:ext uri="{FF2B5EF4-FFF2-40B4-BE49-F238E27FC236}">
              <a16:creationId xmlns:a16="http://schemas.microsoft.com/office/drawing/2014/main" id="{A0F777FF-FFD1-4935-B77A-C251AF35BEF1}"/>
            </a:ext>
          </a:extLst>
        </xdr:cNvPr>
        <xdr:cNvPicPr>
          <a:picLocks noChangeAspect="1"/>
        </xdr:cNvPicPr>
      </xdr:nvPicPr>
      <xdr:blipFill>
        <a:blip xmlns:r="http://schemas.openxmlformats.org/officeDocument/2006/relationships" r:embed="rId1"/>
        <a:stretch>
          <a:fillRect/>
        </a:stretch>
      </xdr:blipFill>
      <xdr:spPr>
        <a:xfrm>
          <a:off x="6737427" y="4797488"/>
          <a:ext cx="3141058" cy="894294"/>
        </a:xfrm>
        <a:prstGeom prst="rect">
          <a:avLst/>
        </a:prstGeom>
      </xdr:spPr>
    </xdr:pic>
    <xdr:clientData/>
  </xdr:twoCellAnchor>
  <xdr:twoCellAnchor editAs="oneCell">
    <xdr:from>
      <xdr:col>9</xdr:col>
      <xdr:colOff>74084</xdr:colOff>
      <xdr:row>1</xdr:row>
      <xdr:rowOff>158750</xdr:rowOff>
    </xdr:from>
    <xdr:to>
      <xdr:col>25</xdr:col>
      <xdr:colOff>162499</xdr:colOff>
      <xdr:row>27</xdr:row>
      <xdr:rowOff>21168</xdr:rowOff>
    </xdr:to>
    <xdr:pic>
      <xdr:nvPicPr>
        <xdr:cNvPr id="5" name="Imagen 4">
          <a:extLst>
            <a:ext uri="{FF2B5EF4-FFF2-40B4-BE49-F238E27FC236}">
              <a16:creationId xmlns:a16="http://schemas.microsoft.com/office/drawing/2014/main" id="{78075079-E0C3-C0B8-A99D-15FC7C61AC6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06647" y="349250"/>
          <a:ext cx="6347927" cy="44026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9</xdr:row>
      <xdr:rowOff>1697761</xdr:rowOff>
    </xdr:from>
    <xdr:to>
      <xdr:col>2</xdr:col>
      <xdr:colOff>0</xdr:colOff>
      <xdr:row>9</xdr:row>
      <xdr:rowOff>1922793</xdr:rowOff>
    </xdr:to>
    <xdr:sp macro="" textlink="">
      <xdr:nvSpPr>
        <xdr:cNvPr id="26" name="CuadroTexto 25">
          <a:extLst>
            <a:ext uri="{FF2B5EF4-FFF2-40B4-BE49-F238E27FC236}">
              <a16:creationId xmlns:a16="http://schemas.microsoft.com/office/drawing/2014/main" id="{300F5E71-2AF8-450A-8CEF-43508AF3768A}"/>
            </a:ext>
          </a:extLst>
        </xdr:cNvPr>
        <xdr:cNvSpPr txBox="1"/>
      </xdr:nvSpPr>
      <xdr:spPr>
        <a:xfrm rot="20575548">
          <a:off x="6663267" y="23067628"/>
          <a:ext cx="0" cy="2250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D</a:t>
          </a:r>
        </a:p>
      </xdr:txBody>
    </xdr:sp>
    <xdr:clientData/>
  </xdr:twoCellAnchor>
  <xdr:twoCellAnchor>
    <xdr:from>
      <xdr:col>1</xdr:col>
      <xdr:colOff>790303</xdr:colOff>
      <xdr:row>9</xdr:row>
      <xdr:rowOff>767443</xdr:rowOff>
    </xdr:from>
    <xdr:to>
      <xdr:col>1</xdr:col>
      <xdr:colOff>790303</xdr:colOff>
      <xdr:row>9</xdr:row>
      <xdr:rowOff>767443</xdr:rowOff>
    </xdr:to>
    <xdr:cxnSp macro="">
      <xdr:nvCxnSpPr>
        <xdr:cNvPr id="36" name="Conector recto 35">
          <a:extLst>
            <a:ext uri="{FF2B5EF4-FFF2-40B4-BE49-F238E27FC236}">
              <a16:creationId xmlns:a16="http://schemas.microsoft.com/office/drawing/2014/main" id="{2B26E7FB-BD57-4CE9-BE0E-D4BCDC752921}"/>
            </a:ext>
          </a:extLst>
        </xdr:cNvPr>
        <xdr:cNvCxnSpPr/>
      </xdr:nvCxnSpPr>
      <xdr:spPr>
        <a:xfrm>
          <a:off x="1580878" y="22093918"/>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1905</xdr:colOff>
      <xdr:row>2</xdr:row>
      <xdr:rowOff>179070</xdr:rowOff>
    </xdr:from>
    <xdr:to>
      <xdr:col>3</xdr:col>
      <xdr:colOff>1905</xdr:colOff>
      <xdr:row>2</xdr:row>
      <xdr:rowOff>179070</xdr:rowOff>
    </xdr:to>
    <xdr:cxnSp macro="">
      <xdr:nvCxnSpPr>
        <xdr:cNvPr id="43" name="Conector recto de flecha 42">
          <a:extLst>
            <a:ext uri="{FF2B5EF4-FFF2-40B4-BE49-F238E27FC236}">
              <a16:creationId xmlns:a16="http://schemas.microsoft.com/office/drawing/2014/main" id="{32818B46-A724-4D59-9244-EF073C207BC3}"/>
            </a:ext>
          </a:extLst>
        </xdr:cNvPr>
        <xdr:cNvCxnSpPr/>
      </xdr:nvCxnSpPr>
      <xdr:spPr>
        <a:xfrm>
          <a:off x="6665172" y="365337"/>
          <a:ext cx="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13</xdr:row>
      <xdr:rowOff>3810</xdr:rowOff>
    </xdr:from>
    <xdr:to>
      <xdr:col>2</xdr:col>
      <xdr:colOff>0</xdr:colOff>
      <xdr:row>13</xdr:row>
      <xdr:rowOff>5987</xdr:rowOff>
    </xdr:to>
    <xdr:sp macro="" textlink="">
      <xdr:nvSpPr>
        <xdr:cNvPr id="89" name="CuadroTexto 88">
          <a:extLst>
            <a:ext uri="{FF2B5EF4-FFF2-40B4-BE49-F238E27FC236}">
              <a16:creationId xmlns:a16="http://schemas.microsoft.com/office/drawing/2014/main" id="{82A6970D-CBCC-4CB7-A018-07603862FFAD}"/>
            </a:ext>
          </a:extLst>
        </xdr:cNvPr>
        <xdr:cNvSpPr txBox="1"/>
      </xdr:nvSpPr>
      <xdr:spPr>
        <a:xfrm>
          <a:off x="6663267" y="37384143"/>
          <a:ext cx="0" cy="21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K</a:t>
          </a:r>
        </a:p>
      </xdr:txBody>
    </xdr:sp>
    <xdr:clientData/>
  </xdr:twoCellAnchor>
  <xdr:twoCellAnchor>
    <xdr:from>
      <xdr:col>1</xdr:col>
      <xdr:colOff>788670</xdr:colOff>
      <xdr:row>13</xdr:row>
      <xdr:rowOff>5715</xdr:rowOff>
    </xdr:from>
    <xdr:to>
      <xdr:col>1</xdr:col>
      <xdr:colOff>788670</xdr:colOff>
      <xdr:row>13</xdr:row>
      <xdr:rowOff>5715</xdr:rowOff>
    </xdr:to>
    <xdr:sp macro="" textlink="">
      <xdr:nvSpPr>
        <xdr:cNvPr id="94" name="CuadroTexto 93">
          <a:extLst>
            <a:ext uri="{FF2B5EF4-FFF2-40B4-BE49-F238E27FC236}">
              <a16:creationId xmlns:a16="http://schemas.microsoft.com/office/drawing/2014/main" id="{378C0704-C915-4981-8AF1-B1B370CEAF35}"/>
            </a:ext>
          </a:extLst>
        </xdr:cNvPr>
        <xdr:cNvSpPr txBox="1"/>
      </xdr:nvSpPr>
      <xdr:spPr>
        <a:xfrm>
          <a:off x="1579245" y="3733419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I</a:t>
          </a:r>
        </a:p>
      </xdr:txBody>
    </xdr:sp>
    <xdr:clientData/>
  </xdr:twoCellAnchor>
  <xdr:twoCellAnchor>
    <xdr:from>
      <xdr:col>2</xdr:col>
      <xdr:colOff>0</xdr:colOff>
      <xdr:row>5</xdr:row>
      <xdr:rowOff>3810</xdr:rowOff>
    </xdr:from>
    <xdr:to>
      <xdr:col>2</xdr:col>
      <xdr:colOff>0</xdr:colOff>
      <xdr:row>5</xdr:row>
      <xdr:rowOff>3810</xdr:rowOff>
    </xdr:to>
    <xdr:cxnSp macro="">
      <xdr:nvCxnSpPr>
        <xdr:cNvPr id="96" name="Conector recto de flecha 95">
          <a:extLst>
            <a:ext uri="{FF2B5EF4-FFF2-40B4-BE49-F238E27FC236}">
              <a16:creationId xmlns:a16="http://schemas.microsoft.com/office/drawing/2014/main" id="{5DB8C3EB-506F-45D8-8877-7F1156E693D6}"/>
            </a:ext>
          </a:extLst>
        </xdr:cNvPr>
        <xdr:cNvCxnSpPr/>
      </xdr:nvCxnSpPr>
      <xdr:spPr>
        <a:xfrm flipH="1">
          <a:off x="6663267" y="10781877"/>
          <a:ext cx="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228600</xdr:colOff>
      <xdr:row>13</xdr:row>
      <xdr:rowOff>5715</xdr:rowOff>
    </xdr:from>
    <xdr:to>
      <xdr:col>1</xdr:col>
      <xdr:colOff>447675</xdr:colOff>
      <xdr:row>13</xdr:row>
      <xdr:rowOff>5715</xdr:rowOff>
    </xdr:to>
    <xdr:sp macro="" textlink="">
      <xdr:nvSpPr>
        <xdr:cNvPr id="103" name="CuadroTexto 102">
          <a:extLst>
            <a:ext uri="{FF2B5EF4-FFF2-40B4-BE49-F238E27FC236}">
              <a16:creationId xmlns:a16="http://schemas.microsoft.com/office/drawing/2014/main" id="{EDB9F7D0-BCDF-4469-A2D3-0DEEB1CA7D3B}"/>
            </a:ext>
          </a:extLst>
        </xdr:cNvPr>
        <xdr:cNvSpPr txBox="1"/>
      </xdr:nvSpPr>
      <xdr:spPr>
        <a:xfrm>
          <a:off x="1019175" y="37334190"/>
          <a:ext cx="219075"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G</a:t>
          </a:r>
        </a:p>
      </xdr:txBody>
    </xdr:sp>
    <xdr:clientData/>
  </xdr:twoCellAnchor>
  <xdr:twoCellAnchor>
    <xdr:from>
      <xdr:col>1</xdr:col>
      <xdr:colOff>762000</xdr:colOff>
      <xdr:row>10</xdr:row>
      <xdr:rowOff>2760134</xdr:rowOff>
    </xdr:from>
    <xdr:to>
      <xdr:col>1</xdr:col>
      <xdr:colOff>956734</xdr:colOff>
      <xdr:row>10</xdr:row>
      <xdr:rowOff>3191934</xdr:rowOff>
    </xdr:to>
    <xdr:sp macro="" textlink="">
      <xdr:nvSpPr>
        <xdr:cNvPr id="33" name="Rectángulo 32">
          <a:extLst>
            <a:ext uri="{FF2B5EF4-FFF2-40B4-BE49-F238E27FC236}">
              <a16:creationId xmlns:a16="http://schemas.microsoft.com/office/drawing/2014/main" id="{23F66643-0B56-5888-C2E7-1FBAE8FB9175}"/>
            </a:ext>
          </a:extLst>
        </xdr:cNvPr>
        <xdr:cNvSpPr/>
      </xdr:nvSpPr>
      <xdr:spPr>
        <a:xfrm>
          <a:off x="2175933" y="34730267"/>
          <a:ext cx="194734" cy="4318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881743</xdr:colOff>
      <xdr:row>12</xdr:row>
      <xdr:rowOff>1219199</xdr:rowOff>
    </xdr:from>
    <xdr:to>
      <xdr:col>1</xdr:col>
      <xdr:colOff>968828</xdr:colOff>
      <xdr:row>12</xdr:row>
      <xdr:rowOff>1355270</xdr:rowOff>
    </xdr:to>
    <xdr:sp macro="" textlink="">
      <xdr:nvSpPr>
        <xdr:cNvPr id="47" name="Rectángulo 46">
          <a:extLst>
            <a:ext uri="{FF2B5EF4-FFF2-40B4-BE49-F238E27FC236}">
              <a16:creationId xmlns:a16="http://schemas.microsoft.com/office/drawing/2014/main" id="{1089E55A-D6A6-961E-19D0-9B200AA6E478}"/>
            </a:ext>
          </a:extLst>
        </xdr:cNvPr>
        <xdr:cNvSpPr/>
      </xdr:nvSpPr>
      <xdr:spPr>
        <a:xfrm>
          <a:off x="2296886" y="40211828"/>
          <a:ext cx="87085" cy="136071"/>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1</xdr:col>
      <xdr:colOff>269875</xdr:colOff>
      <xdr:row>2</xdr:row>
      <xdr:rowOff>338667</xdr:rowOff>
    </xdr:from>
    <xdr:to>
      <xdr:col>2</xdr:col>
      <xdr:colOff>1927</xdr:colOff>
      <xdr:row>2</xdr:row>
      <xdr:rowOff>3252953</xdr:rowOff>
    </xdr:to>
    <xdr:pic>
      <xdr:nvPicPr>
        <xdr:cNvPr id="16" name="Imagen 15">
          <a:extLst>
            <a:ext uri="{FF2B5EF4-FFF2-40B4-BE49-F238E27FC236}">
              <a16:creationId xmlns:a16="http://schemas.microsoft.com/office/drawing/2014/main" id="{041CAC61-1FCB-7198-585C-F01A2CB10865}"/>
            </a:ext>
          </a:extLst>
        </xdr:cNvPr>
        <xdr:cNvPicPr>
          <a:picLocks noChangeAspect="1"/>
        </xdr:cNvPicPr>
      </xdr:nvPicPr>
      <xdr:blipFill>
        <a:blip xmlns:r="http://schemas.openxmlformats.org/officeDocument/2006/relationships" r:embed="rId1"/>
        <a:stretch>
          <a:fillRect/>
        </a:stretch>
      </xdr:blipFill>
      <xdr:spPr>
        <a:xfrm>
          <a:off x="1714500" y="4053417"/>
          <a:ext cx="9980952" cy="2914286"/>
        </a:xfrm>
        <a:prstGeom prst="rect">
          <a:avLst/>
        </a:prstGeom>
      </xdr:spPr>
    </xdr:pic>
    <xdr:clientData/>
  </xdr:twoCellAnchor>
  <xdr:twoCellAnchor editAs="oneCell">
    <xdr:from>
      <xdr:col>1</xdr:col>
      <xdr:colOff>730249</xdr:colOff>
      <xdr:row>6</xdr:row>
      <xdr:rowOff>62180</xdr:rowOff>
    </xdr:from>
    <xdr:to>
      <xdr:col>1</xdr:col>
      <xdr:colOff>9586910</xdr:colOff>
      <xdr:row>6</xdr:row>
      <xdr:rowOff>3266500</xdr:rowOff>
    </xdr:to>
    <xdr:pic>
      <xdr:nvPicPr>
        <xdr:cNvPr id="5" name="Imagen 4">
          <a:extLst>
            <a:ext uri="{FF2B5EF4-FFF2-40B4-BE49-F238E27FC236}">
              <a16:creationId xmlns:a16="http://schemas.microsoft.com/office/drawing/2014/main" id="{39C18F46-5B26-353A-7998-D3C6B6236D20}"/>
            </a:ext>
          </a:extLst>
        </xdr:cNvPr>
        <xdr:cNvPicPr>
          <a:picLocks noChangeAspect="1"/>
        </xdr:cNvPicPr>
      </xdr:nvPicPr>
      <xdr:blipFill>
        <a:blip xmlns:r="http://schemas.openxmlformats.org/officeDocument/2006/relationships" r:embed="rId2"/>
        <a:stretch>
          <a:fillRect/>
        </a:stretch>
      </xdr:blipFill>
      <xdr:spPr>
        <a:xfrm>
          <a:off x="2174874" y="17873930"/>
          <a:ext cx="8856661" cy="3204320"/>
        </a:xfrm>
        <a:prstGeom prst="rect">
          <a:avLst/>
        </a:prstGeom>
      </xdr:spPr>
    </xdr:pic>
    <xdr:clientData/>
  </xdr:twoCellAnchor>
  <xdr:twoCellAnchor editAs="oneCell">
    <xdr:from>
      <xdr:col>1</xdr:col>
      <xdr:colOff>952500</xdr:colOff>
      <xdr:row>7</xdr:row>
      <xdr:rowOff>428625</xdr:rowOff>
    </xdr:from>
    <xdr:to>
      <xdr:col>1</xdr:col>
      <xdr:colOff>9164417</xdr:colOff>
      <xdr:row>7</xdr:row>
      <xdr:rowOff>3501189</xdr:rowOff>
    </xdr:to>
    <xdr:pic>
      <xdr:nvPicPr>
        <xdr:cNvPr id="6" name="Imagen 5">
          <a:extLst>
            <a:ext uri="{FF2B5EF4-FFF2-40B4-BE49-F238E27FC236}">
              <a16:creationId xmlns:a16="http://schemas.microsoft.com/office/drawing/2014/main" id="{65088B88-689F-4F4D-6A3C-401417CF2949}"/>
            </a:ext>
          </a:extLst>
        </xdr:cNvPr>
        <xdr:cNvPicPr>
          <a:picLocks noChangeAspect="1"/>
        </xdr:cNvPicPr>
      </xdr:nvPicPr>
      <xdr:blipFill rotWithShape="1">
        <a:blip xmlns:r="http://schemas.openxmlformats.org/officeDocument/2006/relationships" r:embed="rId3"/>
        <a:srcRect l="1594" t="12127"/>
        <a:stretch/>
      </xdr:blipFill>
      <xdr:spPr>
        <a:xfrm>
          <a:off x="2397125" y="21764625"/>
          <a:ext cx="8211917" cy="3072564"/>
        </a:xfrm>
        <a:prstGeom prst="rect">
          <a:avLst/>
        </a:prstGeom>
      </xdr:spPr>
    </xdr:pic>
    <xdr:clientData/>
  </xdr:twoCellAnchor>
  <xdr:twoCellAnchor editAs="oneCell">
    <xdr:from>
      <xdr:col>1</xdr:col>
      <xdr:colOff>460375</xdr:colOff>
      <xdr:row>3</xdr:row>
      <xdr:rowOff>206375</xdr:rowOff>
    </xdr:from>
    <xdr:to>
      <xdr:col>1</xdr:col>
      <xdr:colOff>9733570</xdr:colOff>
      <xdr:row>3</xdr:row>
      <xdr:rowOff>3342482</xdr:rowOff>
    </xdr:to>
    <xdr:pic>
      <xdr:nvPicPr>
        <xdr:cNvPr id="3" name="Imagen 2">
          <a:extLst>
            <a:ext uri="{FF2B5EF4-FFF2-40B4-BE49-F238E27FC236}">
              <a16:creationId xmlns:a16="http://schemas.microsoft.com/office/drawing/2014/main" id="{69436F1F-D6AA-AADC-AC9F-AA9C1866605D}"/>
            </a:ext>
          </a:extLst>
        </xdr:cNvPr>
        <xdr:cNvPicPr>
          <a:picLocks noChangeAspect="1"/>
        </xdr:cNvPicPr>
      </xdr:nvPicPr>
      <xdr:blipFill rotWithShape="1">
        <a:blip xmlns:r="http://schemas.openxmlformats.org/officeDocument/2006/relationships" r:embed="rId4"/>
        <a:srcRect t="13523"/>
        <a:stretch/>
      </xdr:blipFill>
      <xdr:spPr>
        <a:xfrm>
          <a:off x="1905000" y="7445375"/>
          <a:ext cx="9273195" cy="3136107"/>
        </a:xfrm>
        <a:prstGeom prst="rect">
          <a:avLst/>
        </a:prstGeom>
      </xdr:spPr>
    </xdr:pic>
    <xdr:clientData/>
  </xdr:twoCellAnchor>
  <xdr:twoCellAnchor editAs="oneCell">
    <xdr:from>
      <xdr:col>1</xdr:col>
      <xdr:colOff>381001</xdr:colOff>
      <xdr:row>1</xdr:row>
      <xdr:rowOff>209296</xdr:rowOff>
    </xdr:from>
    <xdr:to>
      <xdr:col>1</xdr:col>
      <xdr:colOff>9953625</xdr:colOff>
      <xdr:row>1</xdr:row>
      <xdr:rowOff>3418581</xdr:rowOff>
    </xdr:to>
    <xdr:pic>
      <xdr:nvPicPr>
        <xdr:cNvPr id="8" name="Imagen 7">
          <a:extLst>
            <a:ext uri="{FF2B5EF4-FFF2-40B4-BE49-F238E27FC236}">
              <a16:creationId xmlns:a16="http://schemas.microsoft.com/office/drawing/2014/main" id="{176E7086-E7A8-C8A5-BC2F-6D5F7CEC0693}"/>
            </a:ext>
          </a:extLst>
        </xdr:cNvPr>
        <xdr:cNvPicPr>
          <a:picLocks noChangeAspect="1"/>
        </xdr:cNvPicPr>
      </xdr:nvPicPr>
      <xdr:blipFill rotWithShape="1">
        <a:blip xmlns:r="http://schemas.openxmlformats.org/officeDocument/2006/relationships" r:embed="rId5"/>
        <a:srcRect t="22923"/>
        <a:stretch/>
      </xdr:blipFill>
      <xdr:spPr>
        <a:xfrm>
          <a:off x="1825626" y="399796"/>
          <a:ext cx="9572624" cy="3209285"/>
        </a:xfrm>
        <a:prstGeom prst="rect">
          <a:avLst/>
        </a:prstGeom>
      </xdr:spPr>
    </xdr:pic>
    <xdr:clientData/>
  </xdr:twoCellAnchor>
  <xdr:twoCellAnchor editAs="oneCell">
    <xdr:from>
      <xdr:col>1</xdr:col>
      <xdr:colOff>221511</xdr:colOff>
      <xdr:row>4</xdr:row>
      <xdr:rowOff>11549</xdr:rowOff>
    </xdr:from>
    <xdr:to>
      <xdr:col>1</xdr:col>
      <xdr:colOff>10074644</xdr:colOff>
      <xdr:row>4</xdr:row>
      <xdr:rowOff>3439780</xdr:rowOff>
    </xdr:to>
    <xdr:pic>
      <xdr:nvPicPr>
        <xdr:cNvPr id="7" name="Imagen 6">
          <a:extLst>
            <a:ext uri="{FF2B5EF4-FFF2-40B4-BE49-F238E27FC236}">
              <a16:creationId xmlns:a16="http://schemas.microsoft.com/office/drawing/2014/main" id="{1FD146A0-2560-4B9C-AC5C-8D79FC549639}"/>
            </a:ext>
          </a:extLst>
        </xdr:cNvPr>
        <xdr:cNvPicPr>
          <a:picLocks noChangeAspect="1"/>
        </xdr:cNvPicPr>
      </xdr:nvPicPr>
      <xdr:blipFill rotWithShape="1">
        <a:blip xmlns:r="http://schemas.openxmlformats.org/officeDocument/2006/relationships" r:embed="rId6"/>
        <a:srcRect r="1755" b="13947"/>
        <a:stretch/>
      </xdr:blipFill>
      <xdr:spPr>
        <a:xfrm>
          <a:off x="1683488" y="10821316"/>
          <a:ext cx="10148408" cy="3428231"/>
        </a:xfrm>
        <a:prstGeom prst="rect">
          <a:avLst/>
        </a:prstGeom>
      </xdr:spPr>
    </xdr:pic>
    <xdr:clientData/>
  </xdr:twoCellAnchor>
  <xdr:twoCellAnchor editAs="oneCell">
    <xdr:from>
      <xdr:col>1</xdr:col>
      <xdr:colOff>0</xdr:colOff>
      <xdr:row>5</xdr:row>
      <xdr:rowOff>1</xdr:rowOff>
    </xdr:from>
    <xdr:to>
      <xdr:col>2</xdr:col>
      <xdr:colOff>0</xdr:colOff>
      <xdr:row>6</xdr:row>
      <xdr:rowOff>32584</xdr:rowOff>
    </xdr:to>
    <xdr:pic>
      <xdr:nvPicPr>
        <xdr:cNvPr id="10" name="Imagen 9">
          <a:extLst>
            <a:ext uri="{FF2B5EF4-FFF2-40B4-BE49-F238E27FC236}">
              <a16:creationId xmlns:a16="http://schemas.microsoft.com/office/drawing/2014/main" id="{5C225731-7896-7C38-9187-8B874A11DB3D}"/>
            </a:ext>
          </a:extLst>
        </xdr:cNvPr>
        <xdr:cNvPicPr>
          <a:picLocks noChangeAspect="1"/>
        </xdr:cNvPicPr>
      </xdr:nvPicPr>
      <xdr:blipFill>
        <a:blip xmlns:r="http://schemas.openxmlformats.org/officeDocument/2006/relationships" r:embed="rId7"/>
        <a:stretch>
          <a:fillRect/>
        </a:stretch>
      </xdr:blipFill>
      <xdr:spPr>
        <a:xfrm>
          <a:off x="1461977" y="14353954"/>
          <a:ext cx="10566104" cy="35767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493060</xdr:colOff>
      <xdr:row>0</xdr:row>
      <xdr:rowOff>0</xdr:rowOff>
    </xdr:from>
    <xdr:to>
      <xdr:col>13</xdr:col>
      <xdr:colOff>419101</xdr:colOff>
      <xdr:row>14</xdr:row>
      <xdr:rowOff>57150</xdr:rowOff>
    </xdr:to>
    <xdr:graphicFrame macro="">
      <xdr:nvGraphicFramePr>
        <xdr:cNvPr id="3" name="Gráfico 2">
          <a:extLst>
            <a:ext uri="{FF2B5EF4-FFF2-40B4-BE49-F238E27FC236}">
              <a16:creationId xmlns:a16="http://schemas.microsoft.com/office/drawing/2014/main" id="{9B17DC39-ABDB-4224-B56A-4BA07AE94D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4ED2A-4CB9-458B-A906-8760D0A00C31}">
  <sheetPr codeName="Hoja3"/>
  <dimension ref="B9:W132"/>
  <sheetViews>
    <sheetView showZeros="0" topLeftCell="A73" zoomScale="55" zoomScaleNormal="85" workbookViewId="0">
      <selection activeCell="V128" sqref="V128"/>
    </sheetView>
  </sheetViews>
  <sheetFormatPr defaultColWidth="11.453125" defaultRowHeight="16"/>
  <cols>
    <col min="1" max="1" width="11.453125" style="49"/>
    <col min="2" max="2" width="3.453125" style="49" hidden="1" customWidth="1"/>
    <col min="3" max="3" width="3.453125" style="49" customWidth="1"/>
    <col min="4" max="4" width="6.54296875" style="49" customWidth="1"/>
    <col min="5" max="5" width="15.453125" style="49" customWidth="1"/>
    <col min="6" max="11" width="11.453125" style="49"/>
    <col min="12" max="12" width="11.1796875" style="49" customWidth="1"/>
    <col min="13" max="14" width="11.453125" style="49"/>
    <col min="15" max="15" width="9" style="49" customWidth="1"/>
    <col min="16" max="16" width="9.81640625" style="49" customWidth="1"/>
    <col min="17" max="17" width="7" style="49" customWidth="1"/>
    <col min="18" max="18" width="10.1796875" style="49" customWidth="1"/>
    <col min="19" max="16384" width="11.453125" style="49"/>
  </cols>
  <sheetData>
    <row r="9" spans="4:15">
      <c r="D9" s="50" t="s">
        <v>0</v>
      </c>
    </row>
    <row r="11" spans="4:15" ht="16.5" customHeight="1">
      <c r="D11" s="421" t="s">
        <v>1</v>
      </c>
      <c r="E11" s="421"/>
      <c r="F11" s="421"/>
      <c r="G11" s="421"/>
      <c r="H11" s="421"/>
      <c r="I11" s="421"/>
      <c r="J11" s="421"/>
      <c r="K11" s="421"/>
      <c r="L11" s="421"/>
      <c r="M11" s="421"/>
      <c r="N11" s="421"/>
      <c r="O11" s="51"/>
    </row>
    <row r="12" spans="4:15">
      <c r="D12" s="421"/>
      <c r="E12" s="421"/>
      <c r="F12" s="421"/>
      <c r="G12" s="421"/>
      <c r="H12" s="421"/>
      <c r="I12" s="421"/>
      <c r="J12" s="421"/>
      <c r="K12" s="421"/>
      <c r="L12" s="421"/>
      <c r="M12" s="421"/>
      <c r="N12" s="421"/>
      <c r="O12" s="51"/>
    </row>
    <row r="13" spans="4:15">
      <c r="D13" s="421"/>
      <c r="E13" s="421"/>
      <c r="F13" s="421"/>
      <c r="G13" s="421"/>
      <c r="H13" s="421"/>
      <c r="I13" s="421"/>
      <c r="J13" s="421"/>
      <c r="K13" s="421"/>
      <c r="L13" s="421"/>
      <c r="M13" s="421"/>
      <c r="N13" s="421"/>
      <c r="O13" s="51"/>
    </row>
    <row r="14" spans="4:15">
      <c r="D14" s="421"/>
      <c r="E14" s="421"/>
      <c r="F14" s="421"/>
      <c r="G14" s="421"/>
      <c r="H14" s="421"/>
      <c r="I14" s="421"/>
      <c r="J14" s="421"/>
      <c r="K14" s="421"/>
      <c r="L14" s="421"/>
      <c r="M14" s="421"/>
      <c r="N14" s="421"/>
      <c r="O14" s="51"/>
    </row>
    <row r="15" spans="4:15">
      <c r="D15" s="421"/>
      <c r="E15" s="421"/>
      <c r="F15" s="421"/>
      <c r="G15" s="421"/>
      <c r="H15" s="421"/>
      <c r="I15" s="421"/>
      <c r="J15" s="421"/>
      <c r="K15" s="421"/>
      <c r="L15" s="421"/>
      <c r="M15" s="421"/>
      <c r="N15" s="421"/>
      <c r="O15" s="51"/>
    </row>
    <row r="16" spans="4:15">
      <c r="D16" s="421"/>
      <c r="E16" s="421"/>
      <c r="F16" s="421"/>
      <c r="G16" s="421"/>
      <c r="H16" s="421"/>
      <c r="I16" s="421"/>
      <c r="J16" s="421"/>
      <c r="K16" s="421"/>
      <c r="L16" s="421"/>
      <c r="M16" s="421"/>
      <c r="N16" s="421"/>
      <c r="O16" s="51"/>
    </row>
    <row r="17" spans="2:15">
      <c r="D17" s="51"/>
      <c r="E17" s="51"/>
      <c r="F17" s="51"/>
      <c r="G17" s="51"/>
      <c r="H17" s="51"/>
      <c r="I17" s="51"/>
      <c r="J17" s="51"/>
      <c r="K17" s="51"/>
      <c r="L17" s="51"/>
      <c r="M17" s="51"/>
      <c r="N17" s="51"/>
      <c r="O17" s="51"/>
    </row>
    <row r="18" spans="2:15">
      <c r="B18" s="50">
        <v>1</v>
      </c>
      <c r="C18" s="50"/>
      <c r="D18" s="404" t="s">
        <v>2</v>
      </c>
      <c r="E18" s="404"/>
      <c r="F18" s="404"/>
      <c r="G18" s="404"/>
      <c r="H18" s="404"/>
      <c r="I18" s="404"/>
      <c r="J18" s="404"/>
      <c r="K18" s="404"/>
      <c r="L18" s="404"/>
      <c r="M18" s="404"/>
      <c r="N18" s="404"/>
      <c r="O18" s="51"/>
    </row>
    <row r="19" spans="2:15">
      <c r="E19" s="51"/>
      <c r="F19" s="51"/>
      <c r="G19" s="51"/>
      <c r="H19" s="51"/>
      <c r="I19" s="51"/>
      <c r="J19" s="51"/>
      <c r="K19" s="51"/>
      <c r="L19" s="51"/>
      <c r="M19" s="51"/>
      <c r="N19" s="51"/>
      <c r="O19" s="51"/>
    </row>
    <row r="20" spans="2:15">
      <c r="D20" s="52" t="s">
        <v>3</v>
      </c>
      <c r="E20" s="420" t="s">
        <v>4</v>
      </c>
      <c r="F20" s="420"/>
      <c r="G20" s="420"/>
      <c r="H20" s="420"/>
      <c r="I20" s="420"/>
      <c r="J20" s="420"/>
      <c r="K20" s="420"/>
      <c r="L20" s="420"/>
      <c r="M20" s="420"/>
      <c r="N20" s="420"/>
    </row>
    <row r="21" spans="2:15">
      <c r="E21" s="420"/>
      <c r="F21" s="420"/>
      <c r="G21" s="420"/>
      <c r="H21" s="420"/>
      <c r="I21" s="420"/>
      <c r="J21" s="420"/>
      <c r="K21" s="420"/>
      <c r="L21" s="420"/>
      <c r="M21" s="420"/>
      <c r="N21" s="420"/>
    </row>
    <row r="22" spans="2:15">
      <c r="E22" s="420"/>
      <c r="F22" s="420"/>
      <c r="G22" s="420"/>
      <c r="H22" s="420"/>
      <c r="I22" s="420"/>
      <c r="J22" s="420"/>
      <c r="K22" s="420"/>
      <c r="L22" s="420"/>
      <c r="M22" s="420"/>
      <c r="N22" s="420"/>
    </row>
    <row r="28" spans="2:15">
      <c r="D28" s="52" t="s">
        <v>5</v>
      </c>
      <c r="E28" s="420" t="s">
        <v>6</v>
      </c>
      <c r="F28" s="420"/>
      <c r="G28" s="420"/>
      <c r="H28" s="420"/>
      <c r="I28" s="420"/>
      <c r="J28" s="420"/>
      <c r="K28" s="420"/>
      <c r="L28" s="420"/>
      <c r="M28" s="420"/>
      <c r="N28" s="420"/>
    </row>
    <row r="29" spans="2:15">
      <c r="E29" s="420"/>
      <c r="F29" s="420"/>
      <c r="G29" s="420"/>
      <c r="H29" s="420"/>
      <c r="I29" s="420"/>
      <c r="J29" s="420"/>
      <c r="K29" s="420"/>
      <c r="L29" s="420"/>
      <c r="M29" s="420"/>
      <c r="N29" s="420"/>
    </row>
    <row r="30" spans="2:15">
      <c r="E30" s="420"/>
      <c r="F30" s="420"/>
      <c r="G30" s="420"/>
      <c r="H30" s="420"/>
      <c r="I30" s="420"/>
      <c r="J30" s="420"/>
      <c r="K30" s="420"/>
      <c r="L30" s="420"/>
      <c r="M30" s="420"/>
      <c r="N30" s="420"/>
    </row>
    <row r="31" spans="2:15" ht="16.5" customHeight="1">
      <c r="D31" s="52" t="s">
        <v>7</v>
      </c>
      <c r="E31" s="420" t="s">
        <v>8</v>
      </c>
      <c r="F31" s="420"/>
      <c r="G31" s="420"/>
      <c r="H31" s="420"/>
      <c r="I31" s="420"/>
      <c r="J31" s="420"/>
      <c r="K31" s="420"/>
      <c r="L31" s="420"/>
      <c r="M31" s="420"/>
      <c r="N31" s="420"/>
    </row>
    <row r="32" spans="2:15">
      <c r="E32" s="420"/>
      <c r="F32" s="420"/>
      <c r="G32" s="420"/>
      <c r="H32" s="420"/>
      <c r="I32" s="420"/>
      <c r="J32" s="420"/>
      <c r="K32" s="420"/>
      <c r="L32" s="420"/>
      <c r="M32" s="420"/>
      <c r="N32" s="420"/>
    </row>
    <row r="33" spans="5:14">
      <c r="E33" s="420"/>
      <c r="F33" s="420"/>
      <c r="G33" s="420"/>
      <c r="H33" s="420"/>
      <c r="I33" s="420"/>
      <c r="J33" s="420"/>
      <c r="K33" s="420"/>
      <c r="L33" s="420"/>
      <c r="M33" s="420"/>
      <c r="N33" s="420"/>
    </row>
    <row r="54" spans="4:15">
      <c r="D54" s="50">
        <v>2</v>
      </c>
      <c r="E54" s="404" t="s">
        <v>9</v>
      </c>
      <c r="F54" s="404"/>
      <c r="G54" s="404"/>
      <c r="H54" s="404"/>
      <c r="I54" s="404"/>
      <c r="J54" s="404"/>
      <c r="K54" s="404"/>
      <c r="L54" s="404"/>
      <c r="M54" s="404"/>
      <c r="N54" s="404"/>
      <c r="O54" s="404"/>
    </row>
    <row r="112" spans="4:15">
      <c r="D112" s="50">
        <v>3</v>
      </c>
      <c r="E112" s="404" t="s">
        <v>10</v>
      </c>
      <c r="F112" s="404"/>
      <c r="G112" s="404"/>
      <c r="H112" s="404"/>
      <c r="I112" s="404"/>
      <c r="J112" s="404"/>
      <c r="K112" s="404"/>
      <c r="L112" s="404"/>
      <c r="M112" s="404"/>
      <c r="N112" s="404"/>
      <c r="O112" s="404"/>
    </row>
    <row r="118" spans="4:23" ht="409.4" customHeight="1"/>
    <row r="120" spans="4:23">
      <c r="D120" s="50">
        <v>4</v>
      </c>
      <c r="E120" s="422" t="s">
        <v>11</v>
      </c>
      <c r="F120" s="422"/>
      <c r="G120" s="422"/>
      <c r="H120" s="422"/>
      <c r="I120" s="422"/>
      <c r="J120" s="422"/>
      <c r="K120" s="422"/>
      <c r="L120" s="422"/>
      <c r="M120" s="422"/>
      <c r="N120" s="422"/>
      <c r="O120" s="422"/>
      <c r="S120"/>
    </row>
    <row r="121" spans="4:23">
      <c r="D121" s="50"/>
      <c r="E121" s="212"/>
      <c r="F121" s="212"/>
      <c r="G121" s="212"/>
      <c r="H121" s="212"/>
      <c r="I121" s="212"/>
      <c r="J121" s="212"/>
      <c r="K121" s="212"/>
      <c r="L121" s="212"/>
      <c r="M121" s="212"/>
      <c r="N121" s="212"/>
      <c r="O121" s="212"/>
      <c r="S121"/>
    </row>
    <row r="122" spans="4:23">
      <c r="E122" s="405" t="s">
        <v>12</v>
      </c>
      <c r="F122" s="406"/>
      <c r="G122" s="406"/>
      <c r="H122" s="406"/>
      <c r="I122" s="406"/>
      <c r="J122" s="407"/>
      <c r="K122" s="405" t="s">
        <v>13</v>
      </c>
      <c r="L122" s="406"/>
      <c r="M122" s="407"/>
      <c r="N122" s="405" t="s">
        <v>14</v>
      </c>
      <c r="O122" s="406"/>
      <c r="P122" s="406"/>
      <c r="Q122" s="406"/>
      <c r="R122" s="407"/>
      <c r="W122"/>
    </row>
    <row r="123" spans="4:23" ht="131.5" customHeight="1">
      <c r="E123" s="414" t="s">
        <v>15</v>
      </c>
      <c r="F123" s="415"/>
      <c r="G123" s="411"/>
      <c r="H123" s="412"/>
      <c r="I123" s="412"/>
      <c r="J123" s="413"/>
      <c r="K123" s="408" t="s">
        <v>16</v>
      </c>
      <c r="L123" s="409"/>
      <c r="M123" s="410"/>
      <c r="N123" s="411"/>
      <c r="O123" s="412"/>
      <c r="P123" s="412"/>
      <c r="Q123" s="412"/>
      <c r="R123" s="413"/>
      <c r="V123"/>
      <c r="W123"/>
    </row>
    <row r="124" spans="4:23" ht="131.5" customHeight="1">
      <c r="E124" s="414" t="s">
        <v>17</v>
      </c>
      <c r="F124" s="415"/>
      <c r="G124" s="411"/>
      <c r="H124" s="412"/>
      <c r="I124" s="412"/>
      <c r="J124" s="413"/>
      <c r="K124" s="408" t="s">
        <v>16</v>
      </c>
      <c r="L124" s="409"/>
      <c r="M124" s="410"/>
      <c r="N124" s="411"/>
      <c r="O124" s="412"/>
      <c r="P124" s="412"/>
      <c r="Q124" s="412"/>
      <c r="R124" s="413"/>
      <c r="W124"/>
    </row>
    <row r="125" spans="4:23" ht="131.5" customHeight="1">
      <c r="E125" s="416" t="s">
        <v>18</v>
      </c>
      <c r="F125" s="417"/>
      <c r="G125" s="218"/>
      <c r="H125" s="219"/>
      <c r="I125" s="219"/>
      <c r="J125" s="220"/>
      <c r="K125" s="408" t="s">
        <v>19</v>
      </c>
      <c r="L125" s="409"/>
      <c r="M125" s="410"/>
      <c r="N125" s="416" t="s">
        <v>20</v>
      </c>
      <c r="O125" s="417"/>
      <c r="P125" s="213"/>
      <c r="Q125" s="213"/>
      <c r="R125" s="214"/>
    </row>
    <row r="126" spans="4:23" ht="131.5" customHeight="1">
      <c r="E126" s="416" t="s">
        <v>21</v>
      </c>
      <c r="F126" s="417"/>
      <c r="G126" s="218"/>
      <c r="H126" s="219"/>
      <c r="I126" s="219"/>
      <c r="J126" s="220"/>
      <c r="K126" s="408" t="s">
        <v>22</v>
      </c>
      <c r="L126" s="409"/>
      <c r="M126" s="410"/>
      <c r="N126" s="416" t="s">
        <v>23</v>
      </c>
      <c r="O126" s="417"/>
      <c r="P126" s="218"/>
      <c r="Q126" s="219"/>
      <c r="R126" s="220"/>
    </row>
    <row r="127" spans="4:23" ht="131.5" customHeight="1">
      <c r="E127" s="418" t="s">
        <v>24</v>
      </c>
      <c r="F127" s="419"/>
      <c r="G127" s="217"/>
      <c r="H127" s="215"/>
      <c r="I127" s="215"/>
      <c r="J127" s="216"/>
      <c r="K127" s="408" t="s">
        <v>25</v>
      </c>
      <c r="L127" s="409"/>
      <c r="M127" s="410"/>
      <c r="N127" s="425" t="s">
        <v>26</v>
      </c>
      <c r="O127" s="417"/>
      <c r="P127" s="215"/>
      <c r="Q127" s="215"/>
      <c r="R127" s="216"/>
      <c r="V127"/>
    </row>
    <row r="128" spans="4:23" ht="132" customHeight="1">
      <c r="E128" s="416" t="s">
        <v>27</v>
      </c>
      <c r="F128" s="417"/>
      <c r="G128" s="218"/>
      <c r="H128" s="219"/>
      <c r="I128" s="219"/>
      <c r="J128" s="220"/>
      <c r="K128" s="423" t="s">
        <v>28</v>
      </c>
      <c r="L128" s="409"/>
      <c r="M128" s="410"/>
      <c r="N128" s="416" t="s">
        <v>28</v>
      </c>
      <c r="O128" s="424"/>
      <c r="P128" s="424"/>
      <c r="Q128" s="424"/>
      <c r="R128" s="417"/>
    </row>
    <row r="132" spans="4:15" ht="16.399999999999999" customHeight="1">
      <c r="D132" s="50">
        <v>5</v>
      </c>
      <c r="E132" s="404" t="s">
        <v>29</v>
      </c>
      <c r="F132" s="404"/>
      <c r="G132" s="404"/>
      <c r="H132" s="404"/>
      <c r="I132" s="404"/>
      <c r="J132" s="404"/>
      <c r="K132" s="404"/>
      <c r="L132" s="404"/>
      <c r="M132" s="404"/>
      <c r="N132" s="404"/>
      <c r="O132" s="404"/>
    </row>
  </sheetData>
  <sheetProtection algorithmName="SHA-512" hashValue="+kKAoCkZH6mO8ocVpsoVXvhCX/25oLUXQI8e/URCmO09rddOrDqnkKB0RkjyeHxM504kVUsFGfiq3EnCEbC3xw==" saltValue="gcNEq7JnxOc3LlY2CJkHug==" spinCount="100000" sheet="1" selectLockedCells="1" selectUnlockedCells="1"/>
  <mergeCells count="32">
    <mergeCell ref="E120:O120"/>
    <mergeCell ref="E128:F128"/>
    <mergeCell ref="K128:M128"/>
    <mergeCell ref="N128:R128"/>
    <mergeCell ref="E112:O112"/>
    <mergeCell ref="N122:R122"/>
    <mergeCell ref="E122:J122"/>
    <mergeCell ref="N127:O127"/>
    <mergeCell ref="N125:O125"/>
    <mergeCell ref="N126:O126"/>
    <mergeCell ref="E31:N33"/>
    <mergeCell ref="E54:O54"/>
    <mergeCell ref="D11:N16"/>
    <mergeCell ref="D18:N18"/>
    <mergeCell ref="E20:N22"/>
    <mergeCell ref="E28:N30"/>
    <mergeCell ref="E132:O132"/>
    <mergeCell ref="K122:M122"/>
    <mergeCell ref="K125:M125"/>
    <mergeCell ref="K126:M126"/>
    <mergeCell ref="N123:R123"/>
    <mergeCell ref="N124:R124"/>
    <mergeCell ref="K127:M127"/>
    <mergeCell ref="E123:F123"/>
    <mergeCell ref="E124:F124"/>
    <mergeCell ref="G123:J123"/>
    <mergeCell ref="G124:J124"/>
    <mergeCell ref="K123:M123"/>
    <mergeCell ref="K124:M124"/>
    <mergeCell ref="E125:F125"/>
    <mergeCell ref="E126:F126"/>
    <mergeCell ref="E127:F12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12CBA-DD0E-44D5-9093-1092CD0DF29B}">
  <sheetPr codeName="Hoja9"/>
  <dimension ref="A1:W272"/>
  <sheetViews>
    <sheetView workbookViewId="0">
      <selection activeCell="R11" sqref="R11"/>
    </sheetView>
  </sheetViews>
  <sheetFormatPr defaultColWidth="11.453125" defaultRowHeight="14.5"/>
  <cols>
    <col min="1" max="1" width="11.54296875" style="91"/>
    <col min="3" max="3" width="51.1796875" style="143" bestFit="1" customWidth="1"/>
    <col min="10" max="10" width="22.1796875" bestFit="1" customWidth="1"/>
    <col min="11" max="11" width="15.453125" bestFit="1" customWidth="1"/>
    <col min="13" max="13" width="19.1796875" bestFit="1" customWidth="1"/>
    <col min="14" max="14" width="12.54296875" bestFit="1" customWidth="1"/>
    <col min="15" max="15" width="13.81640625" customWidth="1"/>
    <col min="16" max="16" width="14.81640625" bestFit="1" customWidth="1"/>
    <col min="18" max="18" width="28" customWidth="1"/>
    <col min="20" max="20" width="20.81640625" customWidth="1"/>
    <col min="22" max="22" width="22.81640625" bestFit="1" customWidth="1"/>
  </cols>
  <sheetData>
    <row r="1" spans="1:22" ht="27">
      <c r="C1" s="151" t="s">
        <v>40</v>
      </c>
      <c r="D1" s="152" t="s">
        <v>185</v>
      </c>
      <c r="E1" s="153" t="s">
        <v>186</v>
      </c>
      <c r="F1" s="154" t="s">
        <v>187</v>
      </c>
      <c r="G1" s="155" t="s">
        <v>188</v>
      </c>
      <c r="H1" s="155" t="s">
        <v>189</v>
      </c>
      <c r="I1" s="155" t="s">
        <v>190</v>
      </c>
      <c r="J1" s="156" t="s">
        <v>191</v>
      </c>
      <c r="K1" s="246" t="s">
        <v>192</v>
      </c>
    </row>
    <row r="2" spans="1:22">
      <c r="C2" s="157" t="s">
        <v>193</v>
      </c>
      <c r="D2" s="158">
        <v>-99.748999999999995</v>
      </c>
      <c r="E2" s="158">
        <v>1874</v>
      </c>
      <c r="F2" s="158">
        <v>112</v>
      </c>
      <c r="G2" s="159">
        <v>134.4</v>
      </c>
      <c r="H2" s="159">
        <v>140</v>
      </c>
      <c r="I2" s="158">
        <v>163.4</v>
      </c>
      <c r="J2" s="158">
        <v>1888</v>
      </c>
      <c r="K2" s="158" t="s">
        <v>194</v>
      </c>
    </row>
    <row r="3" spans="1:22">
      <c r="C3" s="172" t="s">
        <v>195</v>
      </c>
      <c r="D3" s="172">
        <v>-102.089</v>
      </c>
      <c r="E3" s="172">
        <v>22.238499999999998</v>
      </c>
      <c r="F3" s="173">
        <v>121.64</v>
      </c>
      <c r="G3" s="173">
        <v>142</v>
      </c>
      <c r="H3" s="173">
        <v>140</v>
      </c>
      <c r="I3" s="173">
        <v>159.91</v>
      </c>
      <c r="J3" s="158">
        <v>2373</v>
      </c>
      <c r="K3" s="172" t="s">
        <v>196</v>
      </c>
    </row>
    <row r="4" spans="1:22">
      <c r="A4" s="150" t="s">
        <v>197</v>
      </c>
      <c r="C4" s="172" t="s">
        <v>198</v>
      </c>
      <c r="D4" s="172">
        <v>-102.7186</v>
      </c>
      <c r="E4" s="172">
        <v>21.846800000000002</v>
      </c>
      <c r="F4" s="173">
        <v>118.12</v>
      </c>
      <c r="G4" s="173">
        <v>139.15</v>
      </c>
      <c r="H4" s="173">
        <v>140</v>
      </c>
      <c r="I4" s="173">
        <v>156.88999999999999</v>
      </c>
      <c r="J4" s="158">
        <v>1630</v>
      </c>
      <c r="K4" s="172" t="s">
        <v>194</v>
      </c>
      <c r="M4" s="163" t="s">
        <v>199</v>
      </c>
      <c r="N4" s="163" t="s">
        <v>200</v>
      </c>
      <c r="P4" s="163" t="s">
        <v>201</v>
      </c>
      <c r="R4" s="163" t="s">
        <v>202</v>
      </c>
      <c r="T4" s="163" t="s">
        <v>203</v>
      </c>
      <c r="V4" s="156" t="s">
        <v>204</v>
      </c>
    </row>
    <row r="5" spans="1:22">
      <c r="A5" s="92">
        <v>350</v>
      </c>
      <c r="C5" s="172" t="s">
        <v>205</v>
      </c>
      <c r="D5" s="172">
        <v>-102.3206</v>
      </c>
      <c r="E5" s="172">
        <v>22.228899999999999</v>
      </c>
      <c r="F5" s="173">
        <v>116.44</v>
      </c>
      <c r="G5" s="173">
        <v>137.09</v>
      </c>
      <c r="H5" s="173">
        <v>140</v>
      </c>
      <c r="I5" s="173">
        <v>152.86000000000001</v>
      </c>
      <c r="J5" s="158">
        <v>2021</v>
      </c>
      <c r="K5" s="172" t="s">
        <v>196</v>
      </c>
      <c r="M5" s="92" t="s">
        <v>196</v>
      </c>
      <c r="N5" s="92">
        <v>1</v>
      </c>
      <c r="P5" s="271" t="s">
        <v>32</v>
      </c>
      <c r="R5" s="92"/>
      <c r="T5" s="172" t="s">
        <v>15</v>
      </c>
      <c r="V5" s="92">
        <v>40</v>
      </c>
    </row>
    <row r="6" spans="1:22">
      <c r="A6" s="92">
        <f t="shared" ref="A6:A37" si="0">A5+5</f>
        <v>355</v>
      </c>
      <c r="C6" s="172" t="s">
        <v>206</v>
      </c>
      <c r="D6" s="172">
        <v>102.3441</v>
      </c>
      <c r="E6" s="172">
        <v>21.9636</v>
      </c>
      <c r="F6" s="173">
        <v>115.67</v>
      </c>
      <c r="G6" s="173">
        <v>136.91999999999999</v>
      </c>
      <c r="H6" s="173">
        <v>140</v>
      </c>
      <c r="I6" s="173">
        <v>153.53</v>
      </c>
      <c r="J6" s="158">
        <v>1940</v>
      </c>
      <c r="K6" s="172" t="s">
        <v>196</v>
      </c>
      <c r="M6" s="92" t="s">
        <v>194</v>
      </c>
      <c r="N6" s="92">
        <v>2</v>
      </c>
      <c r="P6" s="271" t="s">
        <v>50</v>
      </c>
      <c r="R6" s="92" t="s">
        <v>207</v>
      </c>
      <c r="T6" s="172" t="s">
        <v>17</v>
      </c>
      <c r="V6" s="92">
        <v>39</v>
      </c>
    </row>
    <row r="7" spans="1:22">
      <c r="A7" s="92">
        <f t="shared" si="0"/>
        <v>360</v>
      </c>
      <c r="C7" s="157" t="s">
        <v>208</v>
      </c>
      <c r="D7" s="158" t="s">
        <v>209</v>
      </c>
      <c r="E7" s="158">
        <v>10</v>
      </c>
      <c r="F7" s="158">
        <v>111.4</v>
      </c>
      <c r="G7" s="160">
        <v>115</v>
      </c>
      <c r="H7" s="159">
        <v>120</v>
      </c>
      <c r="I7" s="158">
        <v>152.69999999999999</v>
      </c>
      <c r="J7" s="158">
        <v>8</v>
      </c>
      <c r="K7" s="158" t="s">
        <v>210</v>
      </c>
      <c r="M7" s="92" t="s">
        <v>210</v>
      </c>
      <c r="N7" s="92">
        <v>3</v>
      </c>
      <c r="R7" s="92" t="s">
        <v>211</v>
      </c>
      <c r="T7" s="172" t="s">
        <v>18</v>
      </c>
      <c r="V7" s="92">
        <v>38</v>
      </c>
    </row>
    <row r="8" spans="1:22">
      <c r="A8" s="92">
        <f t="shared" si="0"/>
        <v>365</v>
      </c>
      <c r="C8" s="157" t="s">
        <v>212</v>
      </c>
      <c r="D8" s="158">
        <v>-95.632999999999996</v>
      </c>
      <c r="E8" s="158">
        <v>514</v>
      </c>
      <c r="F8" s="158">
        <v>114.4</v>
      </c>
      <c r="G8" s="160">
        <v>123.1</v>
      </c>
      <c r="H8" s="159">
        <v>130</v>
      </c>
      <c r="I8" s="158">
        <v>148</v>
      </c>
      <c r="J8" s="158">
        <v>560</v>
      </c>
      <c r="K8" s="157" t="s">
        <v>210</v>
      </c>
      <c r="M8" s="92" t="s">
        <v>213</v>
      </c>
      <c r="N8" s="92">
        <v>4</v>
      </c>
      <c r="R8" s="92" t="s">
        <v>572</v>
      </c>
      <c r="T8" s="172" t="s">
        <v>24</v>
      </c>
      <c r="V8" s="92">
        <v>37</v>
      </c>
    </row>
    <row r="9" spans="1:22">
      <c r="A9" s="92">
        <f t="shared" si="0"/>
        <v>370</v>
      </c>
      <c r="C9" s="157" t="s">
        <v>214</v>
      </c>
      <c r="D9" s="158">
        <v>-113.548</v>
      </c>
      <c r="E9" s="158">
        <v>184</v>
      </c>
      <c r="F9" s="158">
        <v>100.3</v>
      </c>
      <c r="G9" s="160">
        <v>96.8</v>
      </c>
      <c r="H9" s="159">
        <v>100</v>
      </c>
      <c r="I9" s="158">
        <v>132</v>
      </c>
      <c r="J9" s="158">
        <v>16</v>
      </c>
      <c r="K9" s="158" t="s">
        <v>210</v>
      </c>
      <c r="R9" s="92" t="s">
        <v>215</v>
      </c>
      <c r="T9" s="172" t="s">
        <v>216</v>
      </c>
      <c r="V9" s="92">
        <v>36</v>
      </c>
    </row>
    <row r="10" spans="1:22">
      <c r="A10" s="92">
        <f t="shared" si="0"/>
        <v>375</v>
      </c>
      <c r="C10" s="157" t="s">
        <v>217</v>
      </c>
      <c r="D10" s="158">
        <v>-108.209</v>
      </c>
      <c r="E10" s="158">
        <v>1262</v>
      </c>
      <c r="F10" s="158">
        <v>99.3</v>
      </c>
      <c r="G10" s="160">
        <v>131.1</v>
      </c>
      <c r="H10" s="159">
        <v>130</v>
      </c>
      <c r="I10" s="158">
        <v>123.2</v>
      </c>
      <c r="J10" s="158">
        <v>1232</v>
      </c>
      <c r="K10" s="157" t="s">
        <v>210</v>
      </c>
      <c r="R10" s="92" t="s">
        <v>581</v>
      </c>
      <c r="T10" s="172" t="s">
        <v>27</v>
      </c>
      <c r="V10" s="92">
        <v>35</v>
      </c>
    </row>
    <row r="11" spans="1:22">
      <c r="A11" s="92">
        <f t="shared" si="0"/>
        <v>380</v>
      </c>
      <c r="C11" s="157" t="s">
        <v>218</v>
      </c>
      <c r="D11" s="158">
        <v>-99.207999999999998</v>
      </c>
      <c r="E11" s="158">
        <v>50</v>
      </c>
      <c r="F11" s="158">
        <v>92.48</v>
      </c>
      <c r="G11" s="160">
        <v>123.2</v>
      </c>
      <c r="H11" s="159">
        <v>130</v>
      </c>
      <c r="I11" s="158">
        <v>118.31</v>
      </c>
      <c r="J11" s="158">
        <v>8</v>
      </c>
      <c r="K11" s="157" t="s">
        <v>213</v>
      </c>
      <c r="V11" s="92">
        <v>34</v>
      </c>
    </row>
    <row r="12" spans="1:22" ht="16.399999999999999" customHeight="1">
      <c r="A12" s="92">
        <f t="shared" si="0"/>
        <v>385</v>
      </c>
      <c r="C12" s="157" t="s">
        <v>219</v>
      </c>
      <c r="D12" s="158" t="s">
        <v>220</v>
      </c>
      <c r="E12" s="158">
        <v>32</v>
      </c>
      <c r="F12" s="158">
        <v>136.19999999999999</v>
      </c>
      <c r="G12" s="160">
        <v>85</v>
      </c>
      <c r="H12" s="159">
        <v>90</v>
      </c>
      <c r="I12" s="158">
        <v>202.84</v>
      </c>
      <c r="J12" s="158">
        <v>28</v>
      </c>
      <c r="K12" s="158" t="s">
        <v>210</v>
      </c>
      <c r="M12" s="163" t="s">
        <v>221</v>
      </c>
      <c r="O12" s="560" t="s">
        <v>222</v>
      </c>
      <c r="P12" s="560"/>
      <c r="V12" s="92">
        <v>33</v>
      </c>
    </row>
    <row r="13" spans="1:22" ht="16.399999999999999" customHeight="1">
      <c r="A13" s="92">
        <f t="shared" si="0"/>
        <v>390</v>
      </c>
      <c r="C13" s="157" t="s">
        <v>223</v>
      </c>
      <c r="D13" s="158">
        <v>-89.893000000000001</v>
      </c>
      <c r="E13" s="158">
        <v>3</v>
      </c>
      <c r="F13" s="158">
        <v>72.3</v>
      </c>
      <c r="G13" s="160">
        <v>142</v>
      </c>
      <c r="H13" s="159">
        <v>140</v>
      </c>
      <c r="I13" s="158">
        <v>91.1</v>
      </c>
      <c r="J13" s="158">
        <v>18</v>
      </c>
      <c r="K13" s="157" t="s">
        <v>210</v>
      </c>
      <c r="M13" s="263" cm="1">
        <f t="array" ref="M13">_xlfn.IFS('Datos de Proyecto'!D32="NOVOTEGRA M1 CLAMP",0,'Datos de Proyecto'!D32="S-5! PROTEA II",0,'Datos de Proyecto'!D32="CORRUBRACKET",0,'Datos de Proyecto'!D32="NOVOTEGRA M2 CLAMP",10,'Datos de Proyecto'!D30="Lamina Engargolada",10,'Datos de Proyecto'!D32="JT3-SB-3-8.0x85/50",15,'Datos de Proyecto'!D30="Losa Inclinada",15,'Datos de Proyecto'!D30="PTR",15,'Datos de Proyecto'!D30="Lamina Trapezoidal",15,'Datos de Proyecto'!D30="Lamina Ondulada",15,'Datos de Proyecto'!D30="TPO",15,'Datos de Proyecto'!D30="Losa Plana",25)</f>
        <v>15</v>
      </c>
      <c r="O13" s="561" cm="1">
        <f t="array" ref="O13">_xlfn.IFS('Datos de Proyecto'!C19=1,0.88,'Datos de Proyecto'!C19=2,0.91,'Datos de Proyecto'!C19=3,0.95,'Datos de Proyecto'!C19=4,1)</f>
        <v>0.95</v>
      </c>
      <c r="P13" s="561"/>
      <c r="V13" s="92">
        <v>32</v>
      </c>
    </row>
    <row r="14" spans="1:22" ht="16.399999999999999" customHeight="1">
      <c r="A14" s="92">
        <f t="shared" si="0"/>
        <v>395</v>
      </c>
      <c r="C14" s="157" t="s">
        <v>224</v>
      </c>
      <c r="D14" s="158">
        <v>-90.507000000000005</v>
      </c>
      <c r="E14" s="158">
        <v>113</v>
      </c>
      <c r="F14" s="158">
        <v>100.9</v>
      </c>
      <c r="G14" s="160">
        <v>108.33</v>
      </c>
      <c r="H14" s="159">
        <v>110</v>
      </c>
      <c r="I14" s="158">
        <v>154.80000000000001</v>
      </c>
      <c r="J14" s="158">
        <v>20</v>
      </c>
      <c r="K14" s="157" t="s">
        <v>210</v>
      </c>
      <c r="O14" s="149"/>
      <c r="R14" s="163" t="s">
        <v>225</v>
      </c>
      <c r="V14" s="92">
        <v>31</v>
      </c>
    </row>
    <row r="15" spans="1:22" ht="16.399999999999999" customHeight="1">
      <c r="A15" s="92">
        <f t="shared" si="0"/>
        <v>400</v>
      </c>
      <c r="C15" s="157" t="s">
        <v>226</v>
      </c>
      <c r="D15" s="158">
        <v>-86.852000000000004</v>
      </c>
      <c r="E15" s="158">
        <v>21</v>
      </c>
      <c r="F15" s="158">
        <v>131.51</v>
      </c>
      <c r="G15" s="160">
        <v>173.66</v>
      </c>
      <c r="H15" s="159">
        <v>180</v>
      </c>
      <c r="I15" s="158">
        <v>241.09</v>
      </c>
      <c r="J15" s="158">
        <v>10</v>
      </c>
      <c r="K15" s="157" t="s">
        <v>210</v>
      </c>
      <c r="M15" s="163" t="s">
        <v>227</v>
      </c>
      <c r="O15" s="149"/>
      <c r="Q15">
        <v>1</v>
      </c>
      <c r="R15" s="166" t="s">
        <v>228</v>
      </c>
      <c r="V15" s="92">
        <v>30</v>
      </c>
    </row>
    <row r="16" spans="1:22" ht="16.399999999999999" customHeight="1">
      <c r="A16" s="92">
        <f t="shared" si="0"/>
        <v>405</v>
      </c>
      <c r="C16" s="157" t="s">
        <v>229</v>
      </c>
      <c r="D16" s="158">
        <v>-114.71899999999999</v>
      </c>
      <c r="E16" s="158">
        <v>52</v>
      </c>
      <c r="F16" s="158">
        <v>107.2</v>
      </c>
      <c r="G16" s="160">
        <v>135.6</v>
      </c>
      <c r="H16" s="159">
        <v>140</v>
      </c>
      <c r="I16" s="158">
        <v>135.9</v>
      </c>
      <c r="J16" s="158">
        <v>57</v>
      </c>
      <c r="K16" s="157" t="s">
        <v>210</v>
      </c>
      <c r="M16" s="92">
        <v>0</v>
      </c>
      <c r="O16" s="149"/>
      <c r="Q16">
        <v>2</v>
      </c>
      <c r="R16" s="166" t="s">
        <v>230</v>
      </c>
    </row>
    <row r="17" spans="1:23" ht="16.399999999999999" customHeight="1">
      <c r="A17" s="92">
        <f t="shared" si="0"/>
        <v>410</v>
      </c>
      <c r="C17" s="157" t="s">
        <v>231</v>
      </c>
      <c r="D17" s="158">
        <v>-100.851</v>
      </c>
      <c r="E17" s="158">
        <v>37</v>
      </c>
      <c r="F17" s="158">
        <v>100.11</v>
      </c>
      <c r="G17" s="160">
        <v>104.3</v>
      </c>
      <c r="H17" s="159">
        <v>110</v>
      </c>
      <c r="I17" s="158">
        <v>124.83</v>
      </c>
      <c r="J17" s="158">
        <v>40</v>
      </c>
      <c r="K17" s="157" t="s">
        <v>210</v>
      </c>
      <c r="M17" s="92">
        <v>0.3</v>
      </c>
      <c r="O17" s="149"/>
      <c r="Q17">
        <v>3</v>
      </c>
      <c r="R17" s="166" t="s">
        <v>232</v>
      </c>
    </row>
    <row r="18" spans="1:23" ht="16.399999999999999" customHeight="1">
      <c r="A18" s="92">
        <f t="shared" si="0"/>
        <v>415</v>
      </c>
      <c r="C18" s="157" t="s">
        <v>233</v>
      </c>
      <c r="D18" s="158">
        <v>-90.382999999999996</v>
      </c>
      <c r="E18" s="158">
        <v>24</v>
      </c>
      <c r="F18" s="158">
        <v>107.5</v>
      </c>
      <c r="G18" s="160">
        <v>165</v>
      </c>
      <c r="H18" s="159">
        <v>170</v>
      </c>
      <c r="I18" s="158">
        <v>162.69999999999999</v>
      </c>
      <c r="J18" s="158">
        <v>27</v>
      </c>
      <c r="K18" s="158" t="s">
        <v>210</v>
      </c>
      <c r="M18" s="92">
        <v>0.4</v>
      </c>
      <c r="O18" s="149"/>
      <c r="Q18">
        <v>4</v>
      </c>
      <c r="R18" s="166" t="s">
        <v>234</v>
      </c>
    </row>
    <row r="19" spans="1:23" ht="16.399999999999999" customHeight="1">
      <c r="A19" s="92">
        <f t="shared" si="0"/>
        <v>420</v>
      </c>
      <c r="C19" s="157" t="s">
        <v>235</v>
      </c>
      <c r="D19" s="158">
        <v>-98.932000000000002</v>
      </c>
      <c r="E19" s="158">
        <v>7</v>
      </c>
      <c r="F19" s="158">
        <v>91.35</v>
      </c>
      <c r="G19" s="160">
        <v>141.30000000000001</v>
      </c>
      <c r="H19" s="159">
        <v>140</v>
      </c>
      <c r="I19" s="158">
        <v>117.95</v>
      </c>
      <c r="J19" s="158">
        <v>3</v>
      </c>
      <c r="K19" s="157" t="s">
        <v>210</v>
      </c>
      <c r="M19" s="158">
        <v>0.5</v>
      </c>
      <c r="O19" s="149"/>
    </row>
    <row r="20" spans="1:23" ht="16.399999999999999" customHeight="1">
      <c r="A20" s="92">
        <f t="shared" si="0"/>
        <v>425</v>
      </c>
      <c r="C20" s="157" t="s">
        <v>236</v>
      </c>
      <c r="D20" s="158">
        <v>-103.202</v>
      </c>
      <c r="E20" s="158">
        <v>3</v>
      </c>
      <c r="F20" s="158">
        <v>106.1</v>
      </c>
      <c r="G20" s="160">
        <v>153.30000000000001</v>
      </c>
      <c r="H20" s="159">
        <v>160</v>
      </c>
      <c r="I20" s="158">
        <v>134.9</v>
      </c>
      <c r="J20" s="158">
        <v>0</v>
      </c>
      <c r="K20" s="158" t="s">
        <v>210</v>
      </c>
      <c r="O20" s="149"/>
    </row>
    <row r="21" spans="1:23" ht="16.399999999999999" customHeight="1">
      <c r="A21" s="92">
        <f t="shared" si="0"/>
        <v>430</v>
      </c>
      <c r="C21" s="157" t="s">
        <v>237</v>
      </c>
      <c r="D21" s="158">
        <v>-98.888999999999996</v>
      </c>
      <c r="E21" s="158">
        <v>10</v>
      </c>
      <c r="F21" s="158">
        <v>88.3</v>
      </c>
      <c r="G21" s="160">
        <v>181.17</v>
      </c>
      <c r="H21" s="159">
        <v>180</v>
      </c>
      <c r="I21" s="158">
        <v>117</v>
      </c>
      <c r="J21" s="158">
        <v>45</v>
      </c>
      <c r="K21" s="158" t="s">
        <v>210</v>
      </c>
      <c r="O21" s="149"/>
      <c r="R21" s="163" t="s">
        <v>238</v>
      </c>
    </row>
    <row r="22" spans="1:23" ht="16.399999999999999" customHeight="1">
      <c r="A22" s="92">
        <f t="shared" si="0"/>
        <v>435</v>
      </c>
      <c r="C22" s="157" t="s">
        <v>239</v>
      </c>
      <c r="D22" s="158">
        <v>-88.328000000000003</v>
      </c>
      <c r="E22" s="158">
        <v>36</v>
      </c>
      <c r="F22" s="158">
        <v>96.4</v>
      </c>
      <c r="G22" s="160">
        <v>137.5</v>
      </c>
      <c r="H22" s="159">
        <v>140</v>
      </c>
      <c r="I22" s="158">
        <v>189.7</v>
      </c>
      <c r="J22" s="158">
        <v>17</v>
      </c>
      <c r="K22" s="158" t="s">
        <v>210</v>
      </c>
      <c r="O22" s="149"/>
      <c r="R22" s="395" t="s">
        <v>240</v>
      </c>
    </row>
    <row r="23" spans="1:23" ht="16.399999999999999" customHeight="1">
      <c r="A23" s="92">
        <f t="shared" si="0"/>
        <v>440</v>
      </c>
      <c r="C23" s="157" t="s">
        <v>241</v>
      </c>
      <c r="D23" s="158">
        <v>-98.918000000000006</v>
      </c>
      <c r="E23" s="158">
        <v>28</v>
      </c>
      <c r="F23" s="158">
        <v>74.930000000000007</v>
      </c>
      <c r="G23" s="160">
        <v>86.8</v>
      </c>
      <c r="H23" s="159">
        <v>90</v>
      </c>
      <c r="I23" s="158">
        <v>116.47</v>
      </c>
      <c r="J23" s="158">
        <v>390</v>
      </c>
      <c r="K23" s="157" t="s">
        <v>196</v>
      </c>
      <c r="M23" t="str">
        <f>IF('Datos de Proyecto'!D34&gt;M13,"TRUE","FALSE")</f>
        <v>FALSE</v>
      </c>
      <c r="O23" s="149"/>
      <c r="R23" s="395" t="s">
        <v>242</v>
      </c>
    </row>
    <row r="24" spans="1:23" ht="16.399999999999999" customHeight="1">
      <c r="A24" s="92">
        <f t="shared" si="0"/>
        <v>445</v>
      </c>
      <c r="C24" s="172" t="s">
        <v>243</v>
      </c>
      <c r="D24" s="172">
        <v>-90.0505</v>
      </c>
      <c r="E24" s="172">
        <v>20.370899999999999</v>
      </c>
      <c r="F24" s="173">
        <v>105.99</v>
      </c>
      <c r="G24" s="173">
        <v>132.69999999999999</v>
      </c>
      <c r="H24" s="173">
        <v>130</v>
      </c>
      <c r="I24" s="173">
        <v>158.52000000000001</v>
      </c>
      <c r="J24" s="172">
        <v>15</v>
      </c>
      <c r="K24" s="172" t="s">
        <v>196</v>
      </c>
      <c r="O24" s="149"/>
      <c r="R24" s="395"/>
    </row>
    <row r="25" spans="1:23">
      <c r="A25" s="92">
        <f t="shared" si="0"/>
        <v>450</v>
      </c>
      <c r="C25" s="157" t="s">
        <v>244</v>
      </c>
      <c r="D25" s="158">
        <v>-106.03</v>
      </c>
      <c r="E25" s="158">
        <v>5</v>
      </c>
      <c r="F25" s="158">
        <v>116.1</v>
      </c>
      <c r="G25" s="160">
        <v>126.8</v>
      </c>
      <c r="H25" s="159">
        <v>130</v>
      </c>
      <c r="I25" s="158">
        <v>150</v>
      </c>
      <c r="J25" s="158">
        <v>10</v>
      </c>
      <c r="K25" s="158" t="s">
        <v>196</v>
      </c>
    </row>
    <row r="26" spans="1:23">
      <c r="A26" s="92">
        <f t="shared" si="0"/>
        <v>455</v>
      </c>
      <c r="C26" s="172" t="s">
        <v>245</v>
      </c>
      <c r="D26" s="172">
        <v>-90.72</v>
      </c>
      <c r="E26" s="172">
        <v>19.347200000000001</v>
      </c>
      <c r="F26" s="173">
        <v>96.77</v>
      </c>
      <c r="G26" s="173">
        <v>119.1</v>
      </c>
      <c r="H26" s="173">
        <v>120</v>
      </c>
      <c r="I26" s="173">
        <v>143.85</v>
      </c>
      <c r="J26" s="172">
        <v>1</v>
      </c>
      <c r="K26" s="172" t="s">
        <v>194</v>
      </c>
      <c r="R26" s="543"/>
      <c r="S26" s="544"/>
      <c r="T26" s="544"/>
      <c r="U26" s="544"/>
      <c r="V26" s="544"/>
      <c r="W26" s="545"/>
    </row>
    <row r="27" spans="1:23">
      <c r="A27" s="92">
        <f t="shared" si="0"/>
        <v>460</v>
      </c>
      <c r="C27" s="172" t="s">
        <v>246</v>
      </c>
      <c r="D27" s="172">
        <v>-99.513999999999996</v>
      </c>
      <c r="E27" s="172">
        <v>4</v>
      </c>
      <c r="F27" s="173">
        <v>112.9</v>
      </c>
      <c r="G27" s="173">
        <v>110.85</v>
      </c>
      <c r="H27" s="173">
        <v>110</v>
      </c>
      <c r="I27" s="173">
        <v>143.30000000000001</v>
      </c>
      <c r="J27" s="172">
        <v>2</v>
      </c>
      <c r="K27" s="172" t="s">
        <v>194</v>
      </c>
    </row>
    <row r="28" spans="1:23">
      <c r="A28" s="92">
        <f t="shared" si="0"/>
        <v>465</v>
      </c>
      <c r="C28" s="172" t="s">
        <v>247</v>
      </c>
      <c r="D28" s="172">
        <v>-98.992999999999995</v>
      </c>
      <c r="E28" s="172">
        <v>60</v>
      </c>
      <c r="F28" s="173">
        <v>90.76</v>
      </c>
      <c r="G28" s="173">
        <v>98.4</v>
      </c>
      <c r="H28" s="173">
        <v>100</v>
      </c>
      <c r="I28" s="173">
        <v>117.46</v>
      </c>
      <c r="J28" s="172">
        <v>176</v>
      </c>
      <c r="K28" s="172" t="s">
        <v>196</v>
      </c>
    </row>
    <row r="29" spans="1:23">
      <c r="A29" s="92">
        <f t="shared" si="0"/>
        <v>470</v>
      </c>
      <c r="C29" s="157" t="s">
        <v>248</v>
      </c>
      <c r="D29" s="158">
        <v>-99.197000000000003</v>
      </c>
      <c r="E29" s="158">
        <v>1607</v>
      </c>
      <c r="F29" s="158">
        <v>104.1</v>
      </c>
      <c r="G29" s="160">
        <v>98.4</v>
      </c>
      <c r="H29" s="159">
        <v>100</v>
      </c>
      <c r="I29" s="158">
        <v>130.80000000000001</v>
      </c>
      <c r="J29" s="158">
        <v>1643</v>
      </c>
      <c r="K29" s="158" t="s">
        <v>210</v>
      </c>
    </row>
    <row r="30" spans="1:23">
      <c r="A30" s="92">
        <f t="shared" si="0"/>
        <v>475</v>
      </c>
      <c r="C30" s="157" t="s">
        <v>249</v>
      </c>
      <c r="D30" s="158">
        <v>-100.977</v>
      </c>
      <c r="E30" s="158">
        <v>2115</v>
      </c>
      <c r="F30" s="158">
        <v>125.77</v>
      </c>
      <c r="G30" s="160">
        <v>95.3</v>
      </c>
      <c r="H30" s="159">
        <v>100</v>
      </c>
      <c r="I30" s="158">
        <v>154.05000000000001</v>
      </c>
      <c r="J30" s="158">
        <v>2200</v>
      </c>
      <c r="K30" s="157" t="s">
        <v>210</v>
      </c>
    </row>
    <row r="31" spans="1:23">
      <c r="A31" s="92">
        <f t="shared" si="0"/>
        <v>480</v>
      </c>
      <c r="C31" s="157" t="s">
        <v>250</v>
      </c>
      <c r="D31" s="158">
        <v>-100.271</v>
      </c>
      <c r="E31" s="158">
        <v>52</v>
      </c>
      <c r="F31" s="158">
        <v>126.07</v>
      </c>
      <c r="G31" s="160">
        <v>83.3</v>
      </c>
      <c r="H31" s="159">
        <v>90</v>
      </c>
      <c r="I31" s="158">
        <v>164.54</v>
      </c>
      <c r="J31" s="158">
        <v>60</v>
      </c>
      <c r="K31" s="157" t="s">
        <v>210</v>
      </c>
    </row>
    <row r="32" spans="1:23">
      <c r="A32" s="92">
        <f t="shared" si="0"/>
        <v>485</v>
      </c>
      <c r="C32" s="157" t="s">
        <v>251</v>
      </c>
      <c r="D32" s="158">
        <v>-100.10599999999999</v>
      </c>
      <c r="E32" s="158">
        <v>118</v>
      </c>
      <c r="F32" s="158">
        <v>126.45</v>
      </c>
      <c r="G32" s="160">
        <v>101.5</v>
      </c>
      <c r="H32" s="159">
        <v>100</v>
      </c>
      <c r="I32" s="158">
        <v>165.24</v>
      </c>
      <c r="J32" s="158">
        <v>177</v>
      </c>
      <c r="K32" s="157" t="s">
        <v>213</v>
      </c>
    </row>
    <row r="33" spans="1:11">
      <c r="A33" s="92">
        <f t="shared" si="0"/>
        <v>490</v>
      </c>
      <c r="C33" s="157" t="s">
        <v>252</v>
      </c>
      <c r="D33" s="158">
        <v>-111.66200000000001</v>
      </c>
      <c r="E33" s="158">
        <v>569</v>
      </c>
      <c r="F33" s="158">
        <v>102.5</v>
      </c>
      <c r="G33" s="160">
        <v>127.5</v>
      </c>
      <c r="H33" s="159">
        <v>130</v>
      </c>
      <c r="I33" s="158">
        <v>160.80000000000001</v>
      </c>
      <c r="J33" s="158">
        <v>600</v>
      </c>
      <c r="K33" s="157" t="s">
        <v>210</v>
      </c>
    </row>
    <row r="34" spans="1:11">
      <c r="A34" s="92">
        <f t="shared" si="0"/>
        <v>495</v>
      </c>
      <c r="C34" s="157" t="s">
        <v>253</v>
      </c>
      <c r="D34" s="158">
        <v>-103.738</v>
      </c>
      <c r="E34" s="158">
        <v>1128</v>
      </c>
      <c r="F34" s="158">
        <v>94.71</v>
      </c>
      <c r="G34" s="160">
        <v>140.91</v>
      </c>
      <c r="H34" s="159">
        <v>140</v>
      </c>
      <c r="I34" s="158">
        <v>134.79</v>
      </c>
      <c r="J34" s="158">
        <v>1137</v>
      </c>
      <c r="K34" s="158" t="s">
        <v>194</v>
      </c>
    </row>
    <row r="35" spans="1:11">
      <c r="A35" s="92">
        <f t="shared" si="0"/>
        <v>500</v>
      </c>
      <c r="C35" s="157" t="s">
        <v>254</v>
      </c>
      <c r="D35" s="158">
        <v>-91.867999999999995</v>
      </c>
      <c r="E35" s="158">
        <v>1973</v>
      </c>
      <c r="F35" s="158">
        <v>93.08</v>
      </c>
      <c r="G35" s="160">
        <v>112.4</v>
      </c>
      <c r="H35" s="159">
        <v>120</v>
      </c>
      <c r="I35" s="158">
        <v>128.03</v>
      </c>
      <c r="J35" s="158">
        <v>1993</v>
      </c>
      <c r="K35" s="158" t="s">
        <v>194</v>
      </c>
    </row>
    <row r="36" spans="1:11">
      <c r="A36" s="92">
        <f t="shared" si="0"/>
        <v>505</v>
      </c>
      <c r="C36" s="157" t="s">
        <v>255</v>
      </c>
      <c r="D36" s="158">
        <v>-100.313</v>
      </c>
      <c r="E36" s="158">
        <v>1372</v>
      </c>
      <c r="F36" s="158">
        <v>125.91</v>
      </c>
      <c r="G36" s="160">
        <v>134.9</v>
      </c>
      <c r="H36" s="159">
        <v>140</v>
      </c>
      <c r="I36" s="158">
        <v>164.25</v>
      </c>
      <c r="J36" s="158">
        <v>1415</v>
      </c>
      <c r="K36" s="158" t="s">
        <v>194</v>
      </c>
    </row>
    <row r="37" spans="1:11">
      <c r="A37" s="92">
        <f t="shared" si="0"/>
        <v>510</v>
      </c>
      <c r="C37" s="157" t="s">
        <v>256</v>
      </c>
      <c r="D37" s="158">
        <v>-103.464</v>
      </c>
      <c r="E37" s="158">
        <v>1173</v>
      </c>
      <c r="F37" s="158">
        <v>85.1</v>
      </c>
      <c r="G37" s="160">
        <v>148.5</v>
      </c>
      <c r="H37" s="159">
        <v>150</v>
      </c>
      <c r="I37" s="158">
        <v>115.4</v>
      </c>
      <c r="J37" s="158">
        <v>1415</v>
      </c>
      <c r="K37" s="158" t="s">
        <v>194</v>
      </c>
    </row>
    <row r="38" spans="1:11">
      <c r="A38" s="92">
        <f t="shared" ref="A38:A76" si="1">A37+5</f>
        <v>515</v>
      </c>
      <c r="C38" s="157" t="s">
        <v>257</v>
      </c>
      <c r="D38" s="158">
        <v>-106.729</v>
      </c>
      <c r="E38" s="158">
        <v>1785</v>
      </c>
      <c r="F38" s="158">
        <v>126.06</v>
      </c>
      <c r="G38" s="160">
        <v>149.19999999999999</v>
      </c>
      <c r="H38" s="159">
        <v>150</v>
      </c>
      <c r="I38" s="158">
        <v>152.91999999999999</v>
      </c>
      <c r="J38" s="158">
        <v>1620</v>
      </c>
      <c r="K38" s="158" t="s">
        <v>196</v>
      </c>
    </row>
    <row r="39" spans="1:11">
      <c r="A39" s="92">
        <f t="shared" si="1"/>
        <v>520</v>
      </c>
      <c r="C39" s="157" t="s">
        <v>258</v>
      </c>
      <c r="D39" s="158">
        <v>-99.302999999999997</v>
      </c>
      <c r="E39" s="158">
        <v>1456</v>
      </c>
      <c r="F39" s="158">
        <v>92.68</v>
      </c>
      <c r="G39" s="160">
        <v>141.9</v>
      </c>
      <c r="H39" s="159">
        <v>140</v>
      </c>
      <c r="I39" s="158">
        <v>118.14</v>
      </c>
      <c r="J39" s="158">
        <v>1480</v>
      </c>
      <c r="K39" s="158" t="s">
        <v>194</v>
      </c>
    </row>
    <row r="40" spans="1:11">
      <c r="A40" s="92">
        <f t="shared" si="1"/>
        <v>525</v>
      </c>
      <c r="C40" s="157" t="s">
        <v>259</v>
      </c>
      <c r="D40" s="158">
        <v>-97.85</v>
      </c>
      <c r="E40" s="158">
        <v>1870</v>
      </c>
      <c r="F40" s="158">
        <v>127.26</v>
      </c>
      <c r="G40" s="160">
        <v>114.8</v>
      </c>
      <c r="H40" s="159">
        <v>120</v>
      </c>
      <c r="I40" s="158">
        <v>180.1</v>
      </c>
      <c r="J40" s="158">
        <v>2569</v>
      </c>
      <c r="K40" s="158" t="s">
        <v>194</v>
      </c>
    </row>
    <row r="41" spans="1:11">
      <c r="A41" s="92">
        <f t="shared" si="1"/>
        <v>530</v>
      </c>
      <c r="C41" s="157" t="s">
        <v>260</v>
      </c>
      <c r="D41" s="158">
        <v>-98.992000000000004</v>
      </c>
      <c r="E41" s="158">
        <v>1360</v>
      </c>
      <c r="F41" s="158">
        <v>90.93</v>
      </c>
      <c r="G41" s="160">
        <v>113.2</v>
      </c>
      <c r="H41" s="159">
        <v>120</v>
      </c>
      <c r="I41" s="158">
        <v>117.68</v>
      </c>
      <c r="J41" s="158">
        <v>1680</v>
      </c>
      <c r="K41" s="158" t="s">
        <v>196</v>
      </c>
    </row>
    <row r="42" spans="1:11">
      <c r="A42" s="92">
        <f t="shared" si="1"/>
        <v>535</v>
      </c>
      <c r="C42" s="157" t="s">
        <v>261</v>
      </c>
      <c r="D42" s="158" t="s">
        <v>262</v>
      </c>
      <c r="E42" s="158">
        <v>795</v>
      </c>
      <c r="F42" s="158">
        <v>131</v>
      </c>
      <c r="G42" s="160">
        <v>137.6</v>
      </c>
      <c r="H42" s="159">
        <v>140</v>
      </c>
      <c r="I42" s="158">
        <v>168.9</v>
      </c>
      <c r="J42" s="158">
        <v>800</v>
      </c>
      <c r="K42" s="157" t="s">
        <v>196</v>
      </c>
    </row>
    <row r="43" spans="1:11">
      <c r="A43" s="92">
        <f t="shared" si="1"/>
        <v>540</v>
      </c>
      <c r="C43" s="157" t="s">
        <v>263</v>
      </c>
      <c r="D43" s="158" t="s">
        <v>264</v>
      </c>
      <c r="E43" s="158">
        <v>1195</v>
      </c>
      <c r="F43" s="158">
        <v>124.53</v>
      </c>
      <c r="G43" s="160">
        <v>148.1</v>
      </c>
      <c r="H43" s="159">
        <v>150</v>
      </c>
      <c r="I43" s="158">
        <v>161.77000000000001</v>
      </c>
      <c r="J43" s="158">
        <v>1197</v>
      </c>
      <c r="K43" s="157" t="s">
        <v>194</v>
      </c>
    </row>
    <row r="44" spans="1:11">
      <c r="A44" s="92">
        <f t="shared" si="1"/>
        <v>545</v>
      </c>
      <c r="C44" s="157" t="s">
        <v>265</v>
      </c>
      <c r="D44" s="158">
        <v>-99.051000000000002</v>
      </c>
      <c r="E44" s="158">
        <v>282</v>
      </c>
      <c r="F44" s="158">
        <v>108.22</v>
      </c>
      <c r="G44" s="160">
        <v>142.02000000000001</v>
      </c>
      <c r="H44" s="159">
        <v>140</v>
      </c>
      <c r="I44" s="158">
        <v>137.97</v>
      </c>
      <c r="J44" s="158">
        <v>271</v>
      </c>
      <c r="K44" s="157" t="s">
        <v>196</v>
      </c>
    </row>
    <row r="45" spans="1:11">
      <c r="A45" s="92">
        <f t="shared" si="1"/>
        <v>550</v>
      </c>
      <c r="C45" s="157" t="s">
        <v>266</v>
      </c>
      <c r="D45" s="158">
        <v>-99.17</v>
      </c>
      <c r="E45" s="158">
        <v>757</v>
      </c>
      <c r="F45" s="158">
        <v>108.1</v>
      </c>
      <c r="G45" s="160">
        <v>131.9</v>
      </c>
      <c r="H45" s="159">
        <v>130</v>
      </c>
      <c r="I45" s="158">
        <v>143.6</v>
      </c>
      <c r="J45" s="158">
        <v>735</v>
      </c>
      <c r="K45" s="158" t="s">
        <v>196</v>
      </c>
    </row>
    <row r="46" spans="1:11">
      <c r="A46" s="92">
        <f t="shared" si="1"/>
        <v>555</v>
      </c>
      <c r="C46" s="157" t="s">
        <v>267</v>
      </c>
      <c r="D46" s="158" t="s">
        <v>268</v>
      </c>
      <c r="E46" s="158">
        <v>615</v>
      </c>
      <c r="F46" s="158">
        <v>81.2</v>
      </c>
      <c r="G46" s="160">
        <v>143</v>
      </c>
      <c r="H46" s="159">
        <v>150</v>
      </c>
      <c r="I46" s="158">
        <v>102.2</v>
      </c>
      <c r="J46" s="158">
        <v>606</v>
      </c>
      <c r="K46" s="158" t="s">
        <v>196</v>
      </c>
    </row>
    <row r="47" spans="1:11">
      <c r="A47" s="92">
        <f t="shared" si="1"/>
        <v>560</v>
      </c>
      <c r="C47" s="157" t="s">
        <v>269</v>
      </c>
      <c r="D47" s="158">
        <v>-94.510999999999996</v>
      </c>
      <c r="E47" s="158">
        <v>247</v>
      </c>
      <c r="F47" s="158">
        <v>171.8</v>
      </c>
      <c r="G47" s="160">
        <v>193.6</v>
      </c>
      <c r="H47" s="159">
        <v>200</v>
      </c>
      <c r="I47" s="158">
        <v>209</v>
      </c>
      <c r="J47" s="158">
        <v>223</v>
      </c>
      <c r="K47" s="157" t="s">
        <v>196</v>
      </c>
    </row>
    <row r="48" spans="1:11">
      <c r="A48" s="92">
        <f t="shared" si="1"/>
        <v>565</v>
      </c>
      <c r="C48" s="157" t="s">
        <v>270</v>
      </c>
      <c r="D48" s="158">
        <v>-103.721</v>
      </c>
      <c r="E48" s="158">
        <v>1790</v>
      </c>
      <c r="F48" s="158">
        <v>95.57</v>
      </c>
      <c r="G48" s="160">
        <v>137.5</v>
      </c>
      <c r="H48" s="159">
        <v>140</v>
      </c>
      <c r="I48" s="158">
        <v>136.81</v>
      </c>
      <c r="J48" s="158">
        <v>1600</v>
      </c>
      <c r="K48" s="158" t="s">
        <v>196</v>
      </c>
    </row>
    <row r="49" spans="1:11">
      <c r="A49" s="92">
        <f t="shared" si="1"/>
        <v>570</v>
      </c>
      <c r="C49" s="157" t="s">
        <v>271</v>
      </c>
      <c r="D49" s="158">
        <v>-103.268</v>
      </c>
      <c r="E49" s="158">
        <v>595</v>
      </c>
      <c r="F49" s="158">
        <v>126.2</v>
      </c>
      <c r="G49" s="160">
        <v>126.3</v>
      </c>
      <c r="H49" s="159">
        <v>130</v>
      </c>
      <c r="I49" s="158">
        <v>164.1</v>
      </c>
      <c r="J49" s="158">
        <v>596</v>
      </c>
      <c r="K49" s="158" t="s">
        <v>196</v>
      </c>
    </row>
    <row r="50" spans="1:11">
      <c r="A50" s="92">
        <f t="shared" si="1"/>
        <v>575</v>
      </c>
      <c r="C50" s="157" t="s">
        <v>272</v>
      </c>
      <c r="D50" s="158">
        <v>-92.135000000000005</v>
      </c>
      <c r="E50" s="158">
        <v>1123</v>
      </c>
      <c r="F50" s="158">
        <v>86.4</v>
      </c>
      <c r="G50" s="160">
        <v>156.4</v>
      </c>
      <c r="H50" s="159">
        <v>160</v>
      </c>
      <c r="I50" s="158">
        <v>108.3</v>
      </c>
      <c r="J50" s="158">
        <v>1120</v>
      </c>
      <c r="K50" s="158" t="s">
        <v>196</v>
      </c>
    </row>
    <row r="51" spans="1:11">
      <c r="A51" s="92">
        <f t="shared" si="1"/>
        <v>580</v>
      </c>
      <c r="C51" s="172" t="s">
        <v>273</v>
      </c>
      <c r="D51" s="172">
        <v>-103.73909999999999</v>
      </c>
      <c r="E51" s="172">
        <v>19.266200000000001</v>
      </c>
      <c r="F51" s="173">
        <v>109.6</v>
      </c>
      <c r="G51" s="173">
        <v>141.97</v>
      </c>
      <c r="H51" s="173">
        <v>140</v>
      </c>
      <c r="I51" s="173">
        <v>165.03</v>
      </c>
      <c r="J51" s="172">
        <v>518</v>
      </c>
      <c r="K51" s="172" t="s">
        <v>213</v>
      </c>
    </row>
    <row r="52" spans="1:11">
      <c r="A52" s="92">
        <f t="shared" si="1"/>
        <v>585</v>
      </c>
      <c r="C52" s="157" t="s">
        <v>274</v>
      </c>
      <c r="D52" s="158">
        <v>-86.91</v>
      </c>
      <c r="E52" s="158">
        <v>500</v>
      </c>
      <c r="F52" s="158">
        <v>135.4</v>
      </c>
      <c r="G52" s="160">
        <v>119.67</v>
      </c>
      <c r="H52" s="159">
        <v>120</v>
      </c>
      <c r="I52" s="158">
        <v>245.5</v>
      </c>
      <c r="J52" s="158">
        <v>20</v>
      </c>
      <c r="K52" s="158" t="s">
        <v>213</v>
      </c>
    </row>
    <row r="53" spans="1:11">
      <c r="A53" s="92">
        <f t="shared" si="1"/>
        <v>590</v>
      </c>
      <c r="C53" s="157" t="s">
        <v>275</v>
      </c>
      <c r="D53" s="158">
        <v>-99.257999999999996</v>
      </c>
      <c r="E53" s="158">
        <v>2244</v>
      </c>
      <c r="F53" s="158">
        <v>92.88</v>
      </c>
      <c r="G53" s="160">
        <v>184.2</v>
      </c>
      <c r="H53" s="159">
        <v>190</v>
      </c>
      <c r="I53" s="158">
        <v>118.47</v>
      </c>
      <c r="J53" s="158">
        <v>20</v>
      </c>
      <c r="K53" s="158" t="s">
        <v>213</v>
      </c>
    </row>
    <row r="54" spans="1:11">
      <c r="A54" s="92">
        <f t="shared" si="1"/>
        <v>595</v>
      </c>
      <c r="C54" s="157" t="s">
        <v>276</v>
      </c>
      <c r="D54" s="158">
        <v>-103.8738</v>
      </c>
      <c r="E54" s="158">
        <v>18.917400000000001</v>
      </c>
      <c r="F54" s="158">
        <v>118.93</v>
      </c>
      <c r="G54" s="160">
        <v>154.58000000000001</v>
      </c>
      <c r="H54" s="159">
        <v>160</v>
      </c>
      <c r="I54" s="158">
        <v>185.01</v>
      </c>
      <c r="J54" s="158">
        <v>30</v>
      </c>
      <c r="K54" s="158" t="s">
        <v>213</v>
      </c>
    </row>
    <row r="55" spans="1:11">
      <c r="A55" s="92">
        <f t="shared" si="1"/>
        <v>600</v>
      </c>
      <c r="C55" s="158" t="s">
        <v>277</v>
      </c>
      <c r="D55" s="158">
        <v>-98.99</v>
      </c>
      <c r="E55" s="158">
        <v>1872</v>
      </c>
      <c r="F55" s="159">
        <v>95.86</v>
      </c>
      <c r="G55" s="160">
        <v>126.2</v>
      </c>
      <c r="H55" s="159">
        <v>130</v>
      </c>
      <c r="I55" s="159">
        <v>123.25</v>
      </c>
      <c r="J55" s="158">
        <v>1890</v>
      </c>
      <c r="K55" s="158" t="s">
        <v>196</v>
      </c>
    </row>
    <row r="56" spans="1:11">
      <c r="A56" s="92">
        <f t="shared" si="1"/>
        <v>605</v>
      </c>
      <c r="C56" s="172" t="s">
        <v>278</v>
      </c>
      <c r="D56" s="172">
        <v>-99.215000000000003</v>
      </c>
      <c r="E56" s="158">
        <v>1123</v>
      </c>
      <c r="F56" s="173">
        <v>94.7</v>
      </c>
      <c r="G56" s="173">
        <v>155.18</v>
      </c>
      <c r="H56" s="159">
        <v>160</v>
      </c>
      <c r="I56" s="173">
        <v>122.9</v>
      </c>
      <c r="J56" s="172">
        <v>1114</v>
      </c>
      <c r="K56" s="158" t="s">
        <v>196</v>
      </c>
    </row>
    <row r="57" spans="1:11">
      <c r="A57" s="92">
        <f t="shared" si="1"/>
        <v>610</v>
      </c>
      <c r="C57" s="172" t="s">
        <v>279</v>
      </c>
      <c r="D57" s="172">
        <v>-103.5339</v>
      </c>
      <c r="E57" s="158">
        <v>25.5382</v>
      </c>
      <c r="F57" s="173">
        <v>131.99</v>
      </c>
      <c r="G57" s="173">
        <v>155.16</v>
      </c>
      <c r="H57" s="159">
        <v>160</v>
      </c>
      <c r="I57" s="173">
        <v>175.02</v>
      </c>
      <c r="J57" s="172">
        <v>1131</v>
      </c>
      <c r="K57" s="158" t="s">
        <v>196</v>
      </c>
    </row>
    <row r="58" spans="1:11">
      <c r="A58" s="92">
        <f t="shared" si="1"/>
        <v>615</v>
      </c>
      <c r="C58" s="172" t="s">
        <v>280</v>
      </c>
      <c r="D58" s="172">
        <v>-105.36150000000001</v>
      </c>
      <c r="E58" s="158">
        <v>23.782</v>
      </c>
      <c r="F58" s="173">
        <v>86.18</v>
      </c>
      <c r="G58" s="173">
        <v>98.26</v>
      </c>
      <c r="H58" s="159">
        <v>100</v>
      </c>
      <c r="I58" s="173">
        <v>106.54</v>
      </c>
      <c r="J58" s="172">
        <v>2601</v>
      </c>
      <c r="K58" s="158" t="s">
        <v>194</v>
      </c>
    </row>
    <row r="59" spans="1:11">
      <c r="A59" s="92">
        <f t="shared" si="1"/>
        <v>620</v>
      </c>
      <c r="C59" s="157" t="s">
        <v>281</v>
      </c>
      <c r="D59" s="158">
        <v>-107.441</v>
      </c>
      <c r="E59" s="158">
        <v>2398</v>
      </c>
      <c r="F59" s="158">
        <v>102.2</v>
      </c>
      <c r="G59" s="160">
        <v>94.2</v>
      </c>
      <c r="H59" s="159">
        <v>100</v>
      </c>
      <c r="I59" s="158">
        <v>154.9</v>
      </c>
      <c r="J59" s="158">
        <v>2320</v>
      </c>
      <c r="K59" s="158" t="s">
        <v>196</v>
      </c>
    </row>
    <row r="60" spans="1:11">
      <c r="A60" s="92">
        <f t="shared" si="1"/>
        <v>625</v>
      </c>
      <c r="C60" s="157" t="s">
        <v>282</v>
      </c>
      <c r="D60" s="158">
        <v>-105.533</v>
      </c>
      <c r="E60" s="161">
        <v>1824</v>
      </c>
      <c r="F60" s="158">
        <v>131.30000000000001</v>
      </c>
      <c r="G60" s="160">
        <v>152.1</v>
      </c>
      <c r="H60" s="159">
        <v>150</v>
      </c>
      <c r="I60" s="158">
        <v>162.4</v>
      </c>
      <c r="J60" s="158">
        <v>2670</v>
      </c>
      <c r="K60" s="158" t="s">
        <v>196</v>
      </c>
    </row>
    <row r="61" spans="1:11">
      <c r="A61" s="92">
        <f t="shared" si="1"/>
        <v>630</v>
      </c>
      <c r="C61" s="157" t="s">
        <v>283</v>
      </c>
      <c r="D61" s="158" t="s">
        <v>284</v>
      </c>
      <c r="E61" s="158">
        <v>2308</v>
      </c>
      <c r="F61" s="158">
        <v>110.6</v>
      </c>
      <c r="G61" s="160">
        <v>106.62</v>
      </c>
      <c r="H61" s="159">
        <v>110</v>
      </c>
      <c r="I61" s="158">
        <v>138.9</v>
      </c>
      <c r="J61" s="158">
        <v>2120</v>
      </c>
      <c r="K61" s="158" t="s">
        <v>194</v>
      </c>
    </row>
    <row r="62" spans="1:11">
      <c r="A62" s="92">
        <f t="shared" si="1"/>
        <v>635</v>
      </c>
      <c r="C62" s="172" t="s">
        <v>285</v>
      </c>
      <c r="D62" s="172">
        <v>-99.085999999999999</v>
      </c>
      <c r="E62" s="172">
        <v>2246</v>
      </c>
      <c r="F62" s="173">
        <v>91.47</v>
      </c>
      <c r="G62" s="173">
        <v>105.79</v>
      </c>
      <c r="H62" s="173">
        <v>110</v>
      </c>
      <c r="I62" s="173">
        <v>117.47</v>
      </c>
      <c r="J62" s="172">
        <v>2240</v>
      </c>
      <c r="K62" s="172" t="s">
        <v>210</v>
      </c>
    </row>
    <row r="63" spans="1:11">
      <c r="A63" s="92">
        <f t="shared" si="1"/>
        <v>640</v>
      </c>
      <c r="C63" s="172" t="s">
        <v>286</v>
      </c>
      <c r="D63" s="172">
        <v>-110.797</v>
      </c>
      <c r="E63" s="172">
        <v>2250</v>
      </c>
      <c r="F63" s="173">
        <v>99.6</v>
      </c>
      <c r="G63" s="173">
        <v>103.7</v>
      </c>
      <c r="H63" s="173">
        <v>110</v>
      </c>
      <c r="I63" s="173">
        <v>145.4</v>
      </c>
      <c r="J63" s="172">
        <v>2252</v>
      </c>
      <c r="K63" s="172" t="s">
        <v>210</v>
      </c>
    </row>
    <row r="64" spans="1:11">
      <c r="A64" s="92">
        <f t="shared" si="1"/>
        <v>645</v>
      </c>
      <c r="C64" s="157" t="s">
        <v>287</v>
      </c>
      <c r="D64" s="158">
        <v>-116.53</v>
      </c>
      <c r="E64" s="158">
        <v>2250</v>
      </c>
      <c r="F64" s="158">
        <v>81</v>
      </c>
      <c r="G64" s="160">
        <v>104.42</v>
      </c>
      <c r="H64" s="159">
        <v>110</v>
      </c>
      <c r="I64" s="158">
        <v>109.6</v>
      </c>
      <c r="J64" s="158">
        <v>2250</v>
      </c>
      <c r="K64" s="157" t="s">
        <v>194</v>
      </c>
    </row>
    <row r="65" spans="1:11">
      <c r="A65" s="92">
        <f t="shared" si="1"/>
        <v>650</v>
      </c>
      <c r="C65" s="157" t="s">
        <v>288</v>
      </c>
      <c r="D65" s="158">
        <v>-90.754000000000005</v>
      </c>
      <c r="E65" s="158">
        <v>2240</v>
      </c>
      <c r="F65" s="158">
        <v>85.5</v>
      </c>
      <c r="G65" s="160">
        <v>105.14</v>
      </c>
      <c r="H65" s="159">
        <v>110</v>
      </c>
      <c r="I65" s="158">
        <v>109.6</v>
      </c>
      <c r="J65" s="158">
        <v>2240</v>
      </c>
      <c r="K65" s="158" t="s">
        <v>194</v>
      </c>
    </row>
    <row r="66" spans="1:11">
      <c r="A66" s="92">
        <f t="shared" si="1"/>
        <v>655</v>
      </c>
      <c r="C66" s="157" t="s">
        <v>289</v>
      </c>
      <c r="D66" s="158">
        <v>-88.054000000000002</v>
      </c>
      <c r="E66" s="158">
        <v>2232</v>
      </c>
      <c r="F66" s="158">
        <v>96</v>
      </c>
      <c r="G66" s="160">
        <v>118.8</v>
      </c>
      <c r="H66" s="159">
        <v>120</v>
      </c>
      <c r="I66" s="158">
        <v>171.9</v>
      </c>
      <c r="J66" s="161">
        <v>2240</v>
      </c>
      <c r="K66" s="247" t="s">
        <v>210</v>
      </c>
    </row>
    <row r="67" spans="1:11">
      <c r="A67" s="92">
        <f t="shared" si="1"/>
        <v>660</v>
      </c>
      <c r="C67" s="157" t="s">
        <v>290</v>
      </c>
      <c r="D67" s="158">
        <v>-102.896</v>
      </c>
      <c r="E67" s="158">
        <v>2328</v>
      </c>
      <c r="F67" s="158">
        <v>119.91</v>
      </c>
      <c r="G67" s="160">
        <v>106.75</v>
      </c>
      <c r="H67" s="159">
        <v>110</v>
      </c>
      <c r="I67" s="158">
        <v>151.66999999999999</v>
      </c>
      <c r="J67" s="158">
        <v>2280</v>
      </c>
      <c r="K67" s="157" t="s">
        <v>194</v>
      </c>
    </row>
    <row r="68" spans="1:11">
      <c r="A68" s="92">
        <f t="shared" si="1"/>
        <v>665</v>
      </c>
      <c r="C68" s="157" t="s">
        <v>291</v>
      </c>
      <c r="D68" s="158">
        <v>-103.502</v>
      </c>
      <c r="E68" s="158">
        <v>2237</v>
      </c>
      <c r="F68" s="158">
        <v>132.12</v>
      </c>
      <c r="G68" s="160">
        <v>105.32</v>
      </c>
      <c r="H68" s="159">
        <v>110</v>
      </c>
      <c r="I68" s="158">
        <v>175.05</v>
      </c>
      <c r="J68" s="158">
        <v>2220</v>
      </c>
      <c r="K68" s="157" t="s">
        <v>210</v>
      </c>
    </row>
    <row r="69" spans="1:11">
      <c r="A69" s="92">
        <f t="shared" si="1"/>
        <v>670</v>
      </c>
      <c r="C69" s="157" t="s">
        <v>292</v>
      </c>
      <c r="D69" s="158">
        <v>-103.392</v>
      </c>
      <c r="E69" s="158">
        <v>2280</v>
      </c>
      <c r="F69" s="158">
        <v>92.8</v>
      </c>
      <c r="G69" s="160">
        <v>107</v>
      </c>
      <c r="H69" s="159">
        <v>110</v>
      </c>
      <c r="I69" s="158">
        <v>119.7</v>
      </c>
      <c r="J69" s="158">
        <v>2250</v>
      </c>
      <c r="K69" s="157" t="s">
        <v>194</v>
      </c>
    </row>
    <row r="70" spans="1:11">
      <c r="A70" s="92">
        <f t="shared" si="1"/>
        <v>675</v>
      </c>
      <c r="C70" s="157" t="s">
        <v>293</v>
      </c>
      <c r="D70" s="158">
        <v>-100.262</v>
      </c>
      <c r="E70" s="158">
        <v>2260</v>
      </c>
      <c r="F70" s="158">
        <v>126.04</v>
      </c>
      <c r="G70" s="160">
        <v>105.65</v>
      </c>
      <c r="H70" s="159">
        <v>110</v>
      </c>
      <c r="I70" s="158">
        <v>164.47</v>
      </c>
      <c r="J70" s="158">
        <v>2250</v>
      </c>
      <c r="K70" s="157" t="s">
        <v>194</v>
      </c>
    </row>
    <row r="71" spans="1:11">
      <c r="A71" s="92">
        <f t="shared" si="1"/>
        <v>680</v>
      </c>
      <c r="C71" s="157" t="s">
        <v>294</v>
      </c>
      <c r="D71" s="158">
        <v>-101.26600000000001</v>
      </c>
      <c r="E71" s="158">
        <v>2699</v>
      </c>
      <c r="F71" s="158">
        <v>137.9</v>
      </c>
      <c r="G71" s="160">
        <v>106.42</v>
      </c>
      <c r="H71" s="159">
        <v>110</v>
      </c>
      <c r="I71" s="158">
        <v>171.5</v>
      </c>
      <c r="J71" s="158">
        <v>2726</v>
      </c>
      <c r="K71" s="157" t="s">
        <v>194</v>
      </c>
    </row>
    <row r="72" spans="1:11">
      <c r="A72" s="92">
        <f t="shared" si="1"/>
        <v>685</v>
      </c>
      <c r="C72" s="157" t="s">
        <v>295</v>
      </c>
      <c r="D72" s="158" t="s">
        <v>296</v>
      </c>
      <c r="E72" s="158">
        <v>2246</v>
      </c>
      <c r="F72" s="158">
        <v>97.9</v>
      </c>
      <c r="G72" s="160">
        <v>105.1</v>
      </c>
      <c r="H72" s="159">
        <v>110</v>
      </c>
      <c r="I72" s="158">
        <v>146.80000000000001</v>
      </c>
      <c r="J72" s="158">
        <v>2250</v>
      </c>
      <c r="K72" s="247" t="s">
        <v>210</v>
      </c>
    </row>
    <row r="73" spans="1:11">
      <c r="A73" s="92">
        <f t="shared" si="1"/>
        <v>690</v>
      </c>
      <c r="C73" s="157" t="s">
        <v>297</v>
      </c>
      <c r="D73" s="158">
        <v>-133.45699999999999</v>
      </c>
      <c r="E73" s="158">
        <v>2248</v>
      </c>
      <c r="F73" s="158">
        <v>84.1</v>
      </c>
      <c r="G73" s="160">
        <v>105.5</v>
      </c>
      <c r="H73" s="159">
        <v>110</v>
      </c>
      <c r="I73" s="158">
        <v>123</v>
      </c>
      <c r="J73" s="158">
        <v>2210</v>
      </c>
      <c r="K73" s="158" t="s">
        <v>210</v>
      </c>
    </row>
    <row r="74" spans="1:11">
      <c r="A74" s="92">
        <f t="shared" si="1"/>
        <v>695</v>
      </c>
      <c r="C74" s="157" t="s">
        <v>298</v>
      </c>
      <c r="D74" s="158">
        <v>-110.93</v>
      </c>
      <c r="E74" s="158">
        <v>2624</v>
      </c>
      <c r="F74" s="158">
        <v>89.2</v>
      </c>
      <c r="G74" s="160">
        <v>103.73</v>
      </c>
      <c r="H74" s="159">
        <v>100</v>
      </c>
      <c r="I74" s="158">
        <v>120.7</v>
      </c>
      <c r="J74" s="158">
        <v>2625</v>
      </c>
      <c r="K74" s="158" t="s">
        <v>210</v>
      </c>
    </row>
    <row r="75" spans="1:11">
      <c r="A75" s="92">
        <f t="shared" si="1"/>
        <v>700</v>
      </c>
      <c r="C75" s="157" t="s">
        <v>299</v>
      </c>
      <c r="D75" s="158">
        <v>-97.503</v>
      </c>
      <c r="E75" s="158">
        <v>2301</v>
      </c>
      <c r="F75" s="158">
        <v>113.2</v>
      </c>
      <c r="G75" s="160">
        <v>106.73</v>
      </c>
      <c r="H75" s="159">
        <v>110</v>
      </c>
      <c r="I75" s="158">
        <v>204.7</v>
      </c>
      <c r="J75" s="158">
        <v>2300</v>
      </c>
      <c r="K75" s="158" t="s">
        <v>194</v>
      </c>
    </row>
    <row r="76" spans="1:11">
      <c r="A76" s="92">
        <f t="shared" si="1"/>
        <v>705</v>
      </c>
      <c r="C76" s="157" t="s">
        <v>300</v>
      </c>
      <c r="D76" s="158">
        <v>-110.952</v>
      </c>
      <c r="E76" s="158">
        <v>2245</v>
      </c>
      <c r="F76" s="158">
        <v>112.11</v>
      </c>
      <c r="G76" s="160">
        <v>105.48</v>
      </c>
      <c r="H76" s="159">
        <v>110</v>
      </c>
      <c r="I76" s="158">
        <v>137.16</v>
      </c>
      <c r="J76" s="158">
        <v>2248</v>
      </c>
      <c r="K76" s="158" t="s">
        <v>194</v>
      </c>
    </row>
    <row r="77" spans="1:11">
      <c r="A77" s="92">
        <v>710</v>
      </c>
      <c r="C77" s="157" t="s">
        <v>301</v>
      </c>
      <c r="D77" s="158">
        <v>-105.67700000000001</v>
      </c>
      <c r="E77" s="158">
        <v>2247</v>
      </c>
      <c r="F77" s="158">
        <v>127.4</v>
      </c>
      <c r="G77" s="160">
        <v>106.62</v>
      </c>
      <c r="H77" s="159">
        <v>110</v>
      </c>
      <c r="I77" s="158">
        <v>166.5</v>
      </c>
      <c r="J77" s="158">
        <v>2240</v>
      </c>
      <c r="K77" s="158" t="s">
        <v>194</v>
      </c>
    </row>
    <row r="78" spans="1:11">
      <c r="A78" s="92">
        <v>715</v>
      </c>
      <c r="C78" s="157" t="s">
        <v>302</v>
      </c>
      <c r="D78" s="158">
        <v>-97.772000000000006</v>
      </c>
      <c r="E78" s="158">
        <v>2247</v>
      </c>
      <c r="F78" s="158">
        <v>105.9</v>
      </c>
      <c r="G78" s="160">
        <v>105.68</v>
      </c>
      <c r="H78" s="159">
        <v>110</v>
      </c>
      <c r="I78" s="158">
        <v>134.9</v>
      </c>
      <c r="J78" s="158">
        <v>2248</v>
      </c>
      <c r="K78" s="158" t="s">
        <v>194</v>
      </c>
    </row>
    <row r="79" spans="1:11">
      <c r="A79" s="92">
        <v>720</v>
      </c>
      <c r="C79" s="157" t="s">
        <v>303</v>
      </c>
      <c r="D79" s="158">
        <v>-96.134</v>
      </c>
      <c r="E79" s="158">
        <v>2264</v>
      </c>
      <c r="F79" s="158">
        <v>106.5</v>
      </c>
      <c r="G79" s="160">
        <v>104.04</v>
      </c>
      <c r="H79" s="159">
        <v>110</v>
      </c>
      <c r="I79" s="158">
        <v>185.3</v>
      </c>
      <c r="J79" s="158">
        <v>2131</v>
      </c>
      <c r="K79" s="158" t="s">
        <v>194</v>
      </c>
    </row>
    <row r="80" spans="1:11">
      <c r="A80" s="92">
        <v>725</v>
      </c>
      <c r="C80" s="157" t="s">
        <v>304</v>
      </c>
      <c r="D80" s="158">
        <v>-99.35</v>
      </c>
      <c r="E80" s="158">
        <v>2256</v>
      </c>
      <c r="F80" s="158">
        <v>92.34</v>
      </c>
      <c r="G80" s="160">
        <v>103.64</v>
      </c>
      <c r="H80" s="159">
        <v>110</v>
      </c>
      <c r="I80" s="158">
        <v>117.86</v>
      </c>
      <c r="J80" s="158">
        <v>2250</v>
      </c>
      <c r="K80" s="158" t="s">
        <v>210</v>
      </c>
    </row>
    <row r="81" spans="1:11">
      <c r="A81" s="92">
        <v>730</v>
      </c>
      <c r="C81" s="157" t="s">
        <v>305</v>
      </c>
      <c r="D81" s="158">
        <v>-99.6</v>
      </c>
      <c r="E81" s="158">
        <v>2254</v>
      </c>
      <c r="F81" s="158">
        <v>104.52</v>
      </c>
      <c r="G81" s="160">
        <v>106.8</v>
      </c>
      <c r="H81" s="159">
        <v>110</v>
      </c>
      <c r="I81" s="158">
        <v>133.59</v>
      </c>
      <c r="J81" s="158">
        <v>2250</v>
      </c>
      <c r="K81" s="158" t="s">
        <v>194</v>
      </c>
    </row>
    <row r="82" spans="1:11">
      <c r="C82" s="157" t="s">
        <v>306</v>
      </c>
      <c r="D82" s="158">
        <v>-101.41200000000001</v>
      </c>
      <c r="E82" s="158">
        <v>2726</v>
      </c>
      <c r="F82" s="158">
        <v>114.55</v>
      </c>
      <c r="G82" s="160">
        <v>96.1</v>
      </c>
      <c r="H82" s="159">
        <v>100</v>
      </c>
      <c r="I82" s="158">
        <v>146.41</v>
      </c>
      <c r="J82" s="158">
        <v>2660</v>
      </c>
      <c r="K82" s="158" t="s">
        <v>194</v>
      </c>
    </row>
    <row r="83" spans="1:11">
      <c r="C83" s="157" t="s">
        <v>307</v>
      </c>
      <c r="D83" s="158">
        <v>-86.741</v>
      </c>
      <c r="E83" s="158">
        <v>2397</v>
      </c>
      <c r="F83" s="158">
        <v>138</v>
      </c>
      <c r="G83" s="160">
        <v>107.07</v>
      </c>
      <c r="H83" s="159">
        <v>110</v>
      </c>
      <c r="I83" s="158">
        <v>239.5</v>
      </c>
      <c r="J83" s="158">
        <v>2390</v>
      </c>
      <c r="K83" s="158" t="s">
        <v>194</v>
      </c>
    </row>
    <row r="84" spans="1:11">
      <c r="C84" s="157" t="s">
        <v>308</v>
      </c>
      <c r="D84" s="158">
        <v>-110.98</v>
      </c>
      <c r="E84" s="158">
        <v>1298</v>
      </c>
      <c r="F84" s="158">
        <v>169</v>
      </c>
      <c r="G84" s="160">
        <v>105.87</v>
      </c>
      <c r="H84" s="159">
        <v>110</v>
      </c>
      <c r="I84" s="158">
        <v>248.1</v>
      </c>
      <c r="J84" s="158">
        <v>1800</v>
      </c>
      <c r="K84" s="158" t="s">
        <v>210</v>
      </c>
    </row>
    <row r="85" spans="1:11">
      <c r="C85" s="157" t="s">
        <v>309</v>
      </c>
      <c r="D85" s="158">
        <v>-98.911000000000001</v>
      </c>
      <c r="E85" s="158">
        <v>1762</v>
      </c>
      <c r="F85" s="158">
        <v>90.74</v>
      </c>
      <c r="G85" s="160">
        <v>115.28</v>
      </c>
      <c r="H85" s="159">
        <v>120</v>
      </c>
      <c r="I85" s="158">
        <v>117.16</v>
      </c>
      <c r="J85" s="158">
        <v>1767</v>
      </c>
      <c r="K85" s="158" t="s">
        <v>194</v>
      </c>
    </row>
    <row r="86" spans="1:11">
      <c r="C86" s="157" t="s">
        <v>310</v>
      </c>
      <c r="D86" s="158">
        <v>-104.907</v>
      </c>
      <c r="E86" s="158">
        <v>1984</v>
      </c>
      <c r="F86" s="158">
        <v>100</v>
      </c>
      <c r="G86" s="160">
        <v>157</v>
      </c>
      <c r="H86" s="159">
        <v>160</v>
      </c>
      <c r="I86" s="158">
        <v>124.1</v>
      </c>
      <c r="J86" s="158">
        <v>2045</v>
      </c>
      <c r="K86" s="158" t="s">
        <v>194</v>
      </c>
    </row>
    <row r="87" spans="1:11">
      <c r="C87" s="157" t="s">
        <v>311</v>
      </c>
      <c r="D87" s="158">
        <v>-99.207999999999998</v>
      </c>
      <c r="E87" s="158">
        <v>1724</v>
      </c>
      <c r="F87" s="158">
        <v>94.79</v>
      </c>
      <c r="G87" s="160">
        <v>130.88</v>
      </c>
      <c r="H87" s="159">
        <v>130</v>
      </c>
      <c r="I87" s="158">
        <v>122.23</v>
      </c>
      <c r="J87" s="158">
        <v>1724</v>
      </c>
      <c r="K87" s="158" t="s">
        <v>194</v>
      </c>
    </row>
    <row r="88" spans="1:11">
      <c r="C88" s="157" t="s">
        <v>312</v>
      </c>
      <c r="D88" s="158" t="s">
        <v>313</v>
      </c>
      <c r="E88" s="158">
        <v>1807</v>
      </c>
      <c r="F88" s="158">
        <v>124.8</v>
      </c>
      <c r="G88" s="160">
        <v>137.52000000000001</v>
      </c>
      <c r="H88" s="159">
        <v>140</v>
      </c>
      <c r="I88" s="158">
        <v>195</v>
      </c>
      <c r="J88" s="158">
        <v>1815</v>
      </c>
      <c r="K88" s="158" t="s">
        <v>194</v>
      </c>
    </row>
    <row r="89" spans="1:11">
      <c r="C89" s="157" t="s">
        <v>314</v>
      </c>
      <c r="D89" s="158">
        <v>-116.206</v>
      </c>
      <c r="E89" s="158">
        <v>1915</v>
      </c>
      <c r="F89" s="158">
        <v>117.3</v>
      </c>
      <c r="G89" s="160">
        <v>92.4</v>
      </c>
      <c r="H89" s="159">
        <v>90</v>
      </c>
      <c r="I89" s="158">
        <v>142.1</v>
      </c>
      <c r="J89" s="158">
        <v>1910</v>
      </c>
      <c r="K89" s="158" t="s">
        <v>194</v>
      </c>
    </row>
    <row r="90" spans="1:11">
      <c r="C90" s="157" t="s">
        <v>315</v>
      </c>
      <c r="D90" s="158">
        <v>-101.94199999999999</v>
      </c>
      <c r="E90" s="158">
        <v>1716</v>
      </c>
      <c r="F90" s="158">
        <v>119</v>
      </c>
      <c r="G90" s="160">
        <v>117.1</v>
      </c>
      <c r="H90" s="159">
        <v>120</v>
      </c>
      <c r="I90" s="158">
        <v>146.69999999999999</v>
      </c>
      <c r="J90" s="158">
        <v>1721</v>
      </c>
      <c r="K90" s="158" t="s">
        <v>194</v>
      </c>
    </row>
    <row r="91" spans="1:11">
      <c r="C91" s="157" t="s">
        <v>316</v>
      </c>
      <c r="D91" s="158">
        <v>-96.403000000000006</v>
      </c>
      <c r="E91" s="158">
        <v>3</v>
      </c>
      <c r="F91" s="158">
        <v>133.47999999999999</v>
      </c>
      <c r="G91" s="160">
        <v>140.69999999999999</v>
      </c>
      <c r="H91" s="159">
        <v>140</v>
      </c>
      <c r="I91" s="158">
        <v>170.29</v>
      </c>
      <c r="J91" s="158">
        <v>30</v>
      </c>
      <c r="K91" s="158" t="s">
        <v>213</v>
      </c>
    </row>
    <row r="92" spans="1:11">
      <c r="C92" s="157" t="s">
        <v>317</v>
      </c>
      <c r="D92" s="158">
        <v>-105.467</v>
      </c>
      <c r="E92" s="158">
        <v>1265</v>
      </c>
      <c r="F92" s="158">
        <v>83.2</v>
      </c>
      <c r="G92" s="160">
        <v>129.69999999999999</v>
      </c>
      <c r="H92" s="159">
        <v>130</v>
      </c>
      <c r="I92" s="158">
        <v>103.4</v>
      </c>
      <c r="J92" s="158">
        <v>1253</v>
      </c>
      <c r="K92" s="158" t="s">
        <v>213</v>
      </c>
    </row>
    <row r="93" spans="1:11">
      <c r="C93" s="157" t="s">
        <v>318</v>
      </c>
      <c r="D93" s="158">
        <v>-102.191</v>
      </c>
      <c r="E93" s="158">
        <v>745</v>
      </c>
      <c r="F93" s="158">
        <v>126.2</v>
      </c>
      <c r="G93" s="160">
        <v>120.37</v>
      </c>
      <c r="H93" s="159">
        <v>120</v>
      </c>
      <c r="I93" s="158">
        <v>194.2</v>
      </c>
      <c r="J93" s="158">
        <v>930</v>
      </c>
      <c r="K93" s="158" t="s">
        <v>210</v>
      </c>
    </row>
    <row r="94" spans="1:11">
      <c r="C94" s="172" t="s">
        <v>319</v>
      </c>
      <c r="D94" s="172">
        <v>-98.566599999999994</v>
      </c>
      <c r="E94" s="172">
        <v>17.548400000000001</v>
      </c>
      <c r="F94" s="173">
        <v>108.13</v>
      </c>
      <c r="G94" s="173">
        <v>124.49</v>
      </c>
      <c r="H94" s="173">
        <v>130</v>
      </c>
      <c r="I94" s="173">
        <v>138.13</v>
      </c>
      <c r="J94" s="172">
        <v>1158</v>
      </c>
      <c r="K94" s="172" t="s">
        <v>213</v>
      </c>
    </row>
    <row r="95" spans="1:11">
      <c r="C95" s="172" t="s">
        <v>320</v>
      </c>
      <c r="D95" s="172">
        <v>-101.5517</v>
      </c>
      <c r="E95" s="172">
        <v>17.6417</v>
      </c>
      <c r="F95" s="173">
        <v>119.05</v>
      </c>
      <c r="G95" s="173">
        <v>155.72999999999999</v>
      </c>
      <c r="H95" s="173">
        <v>160</v>
      </c>
      <c r="I95" s="173">
        <v>185.72</v>
      </c>
      <c r="J95" s="172">
        <v>53</v>
      </c>
      <c r="K95" s="172" t="s">
        <v>213</v>
      </c>
    </row>
    <row r="96" spans="1:11">
      <c r="C96" s="172" t="s">
        <v>321</v>
      </c>
      <c r="D96" s="172"/>
      <c r="E96" s="172"/>
      <c r="F96" s="173"/>
      <c r="G96" s="173">
        <v>102</v>
      </c>
      <c r="H96" s="173">
        <v>100</v>
      </c>
      <c r="I96" s="173"/>
      <c r="J96" s="172">
        <v>2450</v>
      </c>
      <c r="K96" s="172" t="s">
        <v>194</v>
      </c>
    </row>
    <row r="97" spans="3:11">
      <c r="C97" s="172" t="s">
        <v>322</v>
      </c>
      <c r="D97" s="172">
        <v>-98.412199999999999</v>
      </c>
      <c r="E97" s="172">
        <v>21.136700000000001</v>
      </c>
      <c r="F97" s="173">
        <v>96.68</v>
      </c>
      <c r="G97" s="173">
        <v>113.51</v>
      </c>
      <c r="H97" s="173">
        <v>120</v>
      </c>
      <c r="I97" s="173">
        <v>127.24</v>
      </c>
      <c r="J97" s="172">
        <v>214</v>
      </c>
      <c r="K97" s="172" t="s">
        <v>194</v>
      </c>
    </row>
    <row r="98" spans="3:11">
      <c r="C98" s="172" t="s">
        <v>323</v>
      </c>
      <c r="D98" s="172">
        <v>-98.721199999999996</v>
      </c>
      <c r="E98" s="172">
        <v>20.0458</v>
      </c>
      <c r="F98" s="173">
        <v>90.3</v>
      </c>
      <c r="G98" s="173">
        <v>103.5</v>
      </c>
      <c r="H98" s="173">
        <v>110</v>
      </c>
      <c r="I98" s="173">
        <v>114.3</v>
      </c>
      <c r="J98" s="172">
        <v>2368</v>
      </c>
      <c r="K98" s="172" t="s">
        <v>194</v>
      </c>
    </row>
    <row r="99" spans="3:11">
      <c r="C99" s="157" t="s">
        <v>324</v>
      </c>
      <c r="D99" s="158">
        <v>-101.736</v>
      </c>
      <c r="E99" s="158">
        <v>2368</v>
      </c>
      <c r="F99" s="158">
        <v>120.66</v>
      </c>
      <c r="G99" s="160">
        <v>103.5</v>
      </c>
      <c r="H99" s="159">
        <v>100</v>
      </c>
      <c r="I99" s="158">
        <v>152.80000000000001</v>
      </c>
      <c r="J99" s="158">
        <v>2432</v>
      </c>
      <c r="K99" s="157" t="s">
        <v>194</v>
      </c>
    </row>
    <row r="100" spans="3:11">
      <c r="C100" s="172" t="s">
        <v>325</v>
      </c>
      <c r="D100" s="172">
        <v>-98.980199999999996</v>
      </c>
      <c r="E100" s="172">
        <v>19.840499999999999</v>
      </c>
      <c r="F100" s="173">
        <v>91.3</v>
      </c>
      <c r="G100" s="173">
        <v>105.15</v>
      </c>
      <c r="H100" s="173">
        <v>110</v>
      </c>
      <c r="I100" s="173">
        <v>116.12</v>
      </c>
      <c r="J100" s="172">
        <v>2265</v>
      </c>
      <c r="K100" s="172" t="s">
        <v>194</v>
      </c>
    </row>
    <row r="101" spans="3:11">
      <c r="C101" s="157" t="s">
        <v>326</v>
      </c>
      <c r="D101" s="158">
        <v>-111.349</v>
      </c>
      <c r="E101" s="158">
        <v>2214</v>
      </c>
      <c r="F101" s="158">
        <v>109.1</v>
      </c>
      <c r="G101" s="160">
        <v>108.9</v>
      </c>
      <c r="H101" s="159">
        <v>110</v>
      </c>
      <c r="I101" s="158">
        <v>167.8</v>
      </c>
      <c r="J101" s="158">
        <v>2180</v>
      </c>
      <c r="K101" s="158" t="s">
        <v>194</v>
      </c>
    </row>
    <row r="102" spans="3:11">
      <c r="C102" s="157" t="s">
        <v>327</v>
      </c>
      <c r="D102" s="158">
        <v>-109.01300000000001</v>
      </c>
      <c r="E102" s="158">
        <v>1493</v>
      </c>
      <c r="F102" s="158">
        <v>113.75</v>
      </c>
      <c r="G102" s="160">
        <v>122.1</v>
      </c>
      <c r="H102" s="159">
        <v>120</v>
      </c>
      <c r="I102" s="158">
        <v>177.75</v>
      </c>
      <c r="J102" s="158">
        <v>1519</v>
      </c>
      <c r="K102" s="248" t="s">
        <v>210</v>
      </c>
    </row>
    <row r="103" spans="3:11">
      <c r="C103" s="157" t="s">
        <v>328</v>
      </c>
      <c r="D103" s="158">
        <v>-98.986999999999995</v>
      </c>
      <c r="E103" s="158">
        <v>1515</v>
      </c>
      <c r="F103" s="158">
        <v>91.1</v>
      </c>
      <c r="G103" s="160">
        <v>101.7</v>
      </c>
      <c r="H103" s="159">
        <v>100</v>
      </c>
      <c r="I103" s="158">
        <v>117.86</v>
      </c>
      <c r="J103" s="158">
        <v>1507</v>
      </c>
      <c r="K103" s="158" t="s">
        <v>210</v>
      </c>
    </row>
    <row r="104" spans="3:11">
      <c r="C104" s="157" t="s">
        <v>329</v>
      </c>
      <c r="D104" s="158">
        <v>-104.319</v>
      </c>
      <c r="E104" s="158">
        <v>1673</v>
      </c>
      <c r="F104" s="158">
        <v>137.19999999999999</v>
      </c>
      <c r="G104" s="160">
        <v>147.30000000000001</v>
      </c>
      <c r="H104" s="159">
        <v>150</v>
      </c>
      <c r="I104" s="158">
        <v>218.3</v>
      </c>
      <c r="J104" s="158">
        <v>1666</v>
      </c>
      <c r="K104" s="158" t="s">
        <v>196</v>
      </c>
    </row>
    <row r="105" spans="3:11">
      <c r="C105" s="172" t="s">
        <v>330</v>
      </c>
      <c r="D105" s="172">
        <v>-98.816000000000003</v>
      </c>
      <c r="E105" s="172">
        <v>1551</v>
      </c>
      <c r="F105" s="173">
        <v>97.2</v>
      </c>
      <c r="G105" s="173">
        <v>107.6</v>
      </c>
      <c r="H105" s="173">
        <v>110</v>
      </c>
      <c r="I105" s="173">
        <v>128.4</v>
      </c>
      <c r="J105" s="172">
        <v>1566</v>
      </c>
      <c r="K105" s="172" t="s">
        <v>210</v>
      </c>
    </row>
    <row r="106" spans="3:11">
      <c r="C106" s="172" t="s">
        <v>331</v>
      </c>
      <c r="D106" s="172">
        <v>-106.411</v>
      </c>
      <c r="E106" s="172">
        <v>1920</v>
      </c>
      <c r="F106" s="173">
        <v>124.6</v>
      </c>
      <c r="G106" s="173">
        <v>134.30000000000001</v>
      </c>
      <c r="H106" s="173">
        <v>140</v>
      </c>
      <c r="I106" s="173">
        <v>207.5</v>
      </c>
      <c r="J106" s="172">
        <v>1942</v>
      </c>
      <c r="K106" s="172" t="s">
        <v>194</v>
      </c>
    </row>
    <row r="107" spans="3:11">
      <c r="C107" s="172" t="s">
        <v>332</v>
      </c>
      <c r="D107" s="172">
        <v>-89.652000000000001</v>
      </c>
      <c r="E107" s="172">
        <v>8</v>
      </c>
      <c r="F107" s="173">
        <v>123.1</v>
      </c>
      <c r="G107" s="173">
        <v>145.71</v>
      </c>
      <c r="H107" s="173">
        <v>150</v>
      </c>
      <c r="I107" s="173">
        <v>197.3</v>
      </c>
      <c r="J107" s="172">
        <v>7</v>
      </c>
      <c r="K107" s="172" t="s">
        <v>213</v>
      </c>
    </row>
    <row r="108" spans="3:11">
      <c r="C108" s="157" t="s">
        <v>333</v>
      </c>
      <c r="D108" s="158">
        <v>-103.5</v>
      </c>
      <c r="E108" s="158">
        <v>19.95</v>
      </c>
      <c r="F108" s="158">
        <v>86</v>
      </c>
      <c r="G108" s="160">
        <v>103</v>
      </c>
      <c r="H108" s="159">
        <v>100</v>
      </c>
      <c r="I108" s="158">
        <v>116</v>
      </c>
      <c r="J108" s="158">
        <v>2220</v>
      </c>
      <c r="K108" s="158" t="s">
        <v>210</v>
      </c>
    </row>
    <row r="109" spans="3:11">
      <c r="C109" s="172" t="s">
        <v>334</v>
      </c>
      <c r="D109" s="158">
        <v>-99.634</v>
      </c>
      <c r="E109" s="158">
        <v>1587</v>
      </c>
      <c r="F109" s="158">
        <v>90.15</v>
      </c>
      <c r="G109" s="160">
        <v>112.59</v>
      </c>
      <c r="H109" s="159">
        <v>120</v>
      </c>
      <c r="I109" s="158">
        <v>113.7</v>
      </c>
      <c r="J109" s="158">
        <v>1870</v>
      </c>
      <c r="K109" s="158" t="s">
        <v>210</v>
      </c>
    </row>
    <row r="110" spans="3:11">
      <c r="C110" s="157" t="s">
        <v>335</v>
      </c>
      <c r="D110" s="172">
        <v>-115.59</v>
      </c>
      <c r="E110" s="172">
        <v>1667</v>
      </c>
      <c r="F110" s="173">
        <v>110.2</v>
      </c>
      <c r="G110" s="173">
        <v>113.64</v>
      </c>
      <c r="H110" s="173">
        <v>120</v>
      </c>
      <c r="I110" s="173">
        <v>133.69999999999999</v>
      </c>
      <c r="J110" s="172">
        <v>1611</v>
      </c>
      <c r="K110" s="172" t="s">
        <v>210</v>
      </c>
    </row>
    <row r="111" spans="3:11">
      <c r="C111" s="172" t="s">
        <v>336</v>
      </c>
      <c r="D111" s="158">
        <v>-94.578999999999994</v>
      </c>
      <c r="E111" s="158">
        <v>1632</v>
      </c>
      <c r="F111" s="158">
        <v>122.87</v>
      </c>
      <c r="G111" s="160">
        <v>112.35</v>
      </c>
      <c r="H111" s="159">
        <v>110</v>
      </c>
      <c r="I111" s="158">
        <v>154</v>
      </c>
      <c r="J111" s="158">
        <v>1571</v>
      </c>
      <c r="K111" s="158" t="s">
        <v>194</v>
      </c>
    </row>
    <row r="112" spans="3:11">
      <c r="C112" s="172" t="s">
        <v>337</v>
      </c>
      <c r="D112" s="172">
        <v>-102.3537</v>
      </c>
      <c r="E112" s="172">
        <v>19.0837</v>
      </c>
      <c r="F112" s="173">
        <v>90.14</v>
      </c>
      <c r="G112" s="173">
        <v>105.21</v>
      </c>
      <c r="H112" s="173">
        <v>110</v>
      </c>
      <c r="I112" s="173">
        <v>119.34</v>
      </c>
      <c r="J112" s="172">
        <v>293</v>
      </c>
      <c r="K112" s="172" t="s">
        <v>213</v>
      </c>
    </row>
    <row r="113" spans="3:18">
      <c r="C113" s="172" t="s">
        <v>338</v>
      </c>
      <c r="D113" s="172">
        <v>-102.0444</v>
      </c>
      <c r="E113" s="172">
        <v>20.3307</v>
      </c>
      <c r="F113" s="173">
        <v>104.32</v>
      </c>
      <c r="G113" s="173">
        <v>120.88</v>
      </c>
      <c r="H113" s="173">
        <v>120</v>
      </c>
      <c r="I113" s="173">
        <v>133.85</v>
      </c>
      <c r="J113" s="172">
        <v>1837</v>
      </c>
      <c r="K113" s="172" t="s">
        <v>194</v>
      </c>
    </row>
    <row r="114" spans="3:18">
      <c r="C114" s="157" t="s">
        <v>339</v>
      </c>
      <c r="D114" s="158">
        <v>-97.872</v>
      </c>
      <c r="E114" s="158">
        <v>3</v>
      </c>
      <c r="F114" s="158">
        <v>128.07</v>
      </c>
      <c r="G114" s="160">
        <v>165.2</v>
      </c>
      <c r="H114" s="159">
        <v>170</v>
      </c>
      <c r="I114" s="158">
        <v>181.07</v>
      </c>
      <c r="J114" s="158">
        <v>10</v>
      </c>
      <c r="K114" s="157" t="s">
        <v>213</v>
      </c>
    </row>
    <row r="115" spans="3:18">
      <c r="C115" s="157" t="s">
        <v>340</v>
      </c>
      <c r="D115" s="158">
        <v>-101.434</v>
      </c>
      <c r="E115" s="158">
        <v>1913</v>
      </c>
      <c r="F115" s="158">
        <v>122.9</v>
      </c>
      <c r="G115" s="160">
        <v>108.1</v>
      </c>
      <c r="H115" s="159">
        <v>110</v>
      </c>
      <c r="I115" s="158">
        <v>159.19999999999999</v>
      </c>
      <c r="J115" s="158">
        <v>1920</v>
      </c>
      <c r="K115" s="157" t="s">
        <v>194</v>
      </c>
    </row>
    <row r="116" spans="3:18">
      <c r="C116" s="157" t="s">
        <v>341</v>
      </c>
      <c r="D116" s="158">
        <v>-100.27200000000001</v>
      </c>
      <c r="E116" s="158">
        <v>1617</v>
      </c>
      <c r="F116" s="158">
        <v>126.2</v>
      </c>
      <c r="G116" s="160">
        <v>111.14</v>
      </c>
      <c r="H116" s="159">
        <v>110</v>
      </c>
      <c r="I116" s="158">
        <v>164.5</v>
      </c>
      <c r="J116" s="158">
        <v>1620</v>
      </c>
      <c r="K116" s="158" t="s">
        <v>210</v>
      </c>
    </row>
    <row r="117" spans="3:18">
      <c r="C117" s="157" t="s">
        <v>342</v>
      </c>
      <c r="D117" s="158">
        <v>-101.18300000000001</v>
      </c>
      <c r="E117" s="158">
        <v>1562</v>
      </c>
      <c r="F117" s="158">
        <v>93</v>
      </c>
      <c r="G117" s="160">
        <v>115.1</v>
      </c>
      <c r="H117" s="159">
        <v>120</v>
      </c>
      <c r="I117" s="158">
        <v>120.5</v>
      </c>
      <c r="J117" s="158">
        <v>1580</v>
      </c>
      <c r="K117" s="158" t="s">
        <v>194</v>
      </c>
    </row>
    <row r="118" spans="3:18">
      <c r="C118" s="157" t="s">
        <v>343</v>
      </c>
      <c r="D118" s="158">
        <v>-99.28</v>
      </c>
      <c r="E118" s="158">
        <v>1305</v>
      </c>
      <c r="F118" s="158">
        <v>92.61</v>
      </c>
      <c r="G118" s="160">
        <v>111.01</v>
      </c>
      <c r="H118" s="159">
        <v>110</v>
      </c>
      <c r="I118" s="158">
        <v>118.57</v>
      </c>
      <c r="J118" s="158">
        <v>1720</v>
      </c>
      <c r="K118" s="158" t="s">
        <v>210</v>
      </c>
    </row>
    <row r="119" spans="3:18">
      <c r="C119" s="157" t="s">
        <v>344</v>
      </c>
      <c r="D119" s="158">
        <v>-109.48699999999999</v>
      </c>
      <c r="E119" s="158">
        <v>1618</v>
      </c>
      <c r="F119" s="158">
        <v>130.47</v>
      </c>
      <c r="G119" s="160">
        <v>110.3</v>
      </c>
      <c r="H119" s="159">
        <v>110</v>
      </c>
      <c r="I119" s="158">
        <v>169.84</v>
      </c>
      <c r="J119" s="158">
        <v>1510</v>
      </c>
      <c r="K119" s="158" t="s">
        <v>210</v>
      </c>
    </row>
    <row r="120" spans="3:18">
      <c r="C120" s="172" t="s">
        <v>345</v>
      </c>
      <c r="D120" s="172">
        <v>-99.184399999999997</v>
      </c>
      <c r="E120" s="172">
        <v>18.847899999999999</v>
      </c>
      <c r="F120" s="173">
        <v>95.22</v>
      </c>
      <c r="G120" s="173">
        <v>110.34</v>
      </c>
      <c r="H120" s="173">
        <v>110</v>
      </c>
      <c r="I120" s="173">
        <v>122.75</v>
      </c>
      <c r="J120" s="172">
        <v>1297</v>
      </c>
      <c r="K120" s="172" t="s">
        <v>210</v>
      </c>
    </row>
    <row r="121" spans="3:18">
      <c r="C121" s="157" t="s">
        <v>346</v>
      </c>
      <c r="D121" s="158">
        <v>-97.248999999999995</v>
      </c>
      <c r="E121" s="158">
        <v>2246</v>
      </c>
      <c r="F121" s="158">
        <v>78.400000000000006</v>
      </c>
      <c r="G121" s="160">
        <v>109.85</v>
      </c>
      <c r="H121" s="159">
        <v>110</v>
      </c>
      <c r="I121" s="158">
        <v>95.5</v>
      </c>
      <c r="J121" s="158">
        <v>1350</v>
      </c>
      <c r="K121" s="158" t="s">
        <v>210</v>
      </c>
    </row>
    <row r="122" spans="3:18">
      <c r="C122" s="172" t="s">
        <v>347</v>
      </c>
      <c r="D122" s="172">
        <v>-99.239400000000003</v>
      </c>
      <c r="E122" s="172">
        <v>18.859300000000001</v>
      </c>
      <c r="F122" s="173">
        <v>95.89</v>
      </c>
      <c r="G122" s="173">
        <v>110.3</v>
      </c>
      <c r="H122" s="173">
        <v>110</v>
      </c>
      <c r="I122" s="173">
        <v>122.9</v>
      </c>
      <c r="J122" s="172">
        <v>1618</v>
      </c>
      <c r="K122" s="172" t="s">
        <v>210</v>
      </c>
    </row>
    <row r="123" spans="3:18" s="149" customFormat="1" ht="17.5" customHeight="1">
      <c r="C123" s="172" t="s">
        <v>348</v>
      </c>
      <c r="D123" s="172">
        <v>-105.24809999999999</v>
      </c>
      <c r="E123" s="172">
        <v>20.807500000000001</v>
      </c>
      <c r="F123" s="173">
        <v>115.62</v>
      </c>
      <c r="G123" s="173">
        <v>148.26</v>
      </c>
      <c r="H123" s="173">
        <v>150</v>
      </c>
      <c r="I123" s="173">
        <v>174.56</v>
      </c>
      <c r="J123" s="172">
        <v>73</v>
      </c>
      <c r="K123" s="172" t="s">
        <v>213</v>
      </c>
      <c r="R123"/>
    </row>
    <row r="124" spans="3:18">
      <c r="C124" s="172" t="s">
        <v>349</v>
      </c>
      <c r="D124" s="172">
        <v>-104.9008</v>
      </c>
      <c r="E124" s="172">
        <v>21.2379</v>
      </c>
      <c r="F124" s="173">
        <v>113.18</v>
      </c>
      <c r="G124" s="173">
        <v>136.86000000000001</v>
      </c>
      <c r="H124" s="173">
        <v>140</v>
      </c>
      <c r="I124" s="173">
        <v>154.87</v>
      </c>
      <c r="J124" s="172">
        <v>844</v>
      </c>
      <c r="K124" s="172" t="s">
        <v>213</v>
      </c>
    </row>
    <row r="125" spans="3:18" ht="17.5" customHeight="1">
      <c r="C125" s="172" t="s">
        <v>350</v>
      </c>
      <c r="D125" s="172">
        <v>-105.2043</v>
      </c>
      <c r="E125" s="172">
        <v>21.813199999999998</v>
      </c>
      <c r="F125" s="173">
        <v>110.33</v>
      </c>
      <c r="G125" s="173">
        <v>140.69</v>
      </c>
      <c r="H125" s="173">
        <v>140</v>
      </c>
      <c r="I125" s="173">
        <v>164.01</v>
      </c>
      <c r="J125" s="172">
        <v>14</v>
      </c>
      <c r="K125" s="172" t="s">
        <v>210</v>
      </c>
      <c r="R125" s="149"/>
    </row>
    <row r="126" spans="3:18">
      <c r="C126" s="157" t="s">
        <v>351</v>
      </c>
      <c r="D126" s="158">
        <v>-99.614999999999995</v>
      </c>
      <c r="E126" s="158">
        <v>915</v>
      </c>
      <c r="F126" s="158">
        <v>114.86</v>
      </c>
      <c r="G126" s="160">
        <v>132.5</v>
      </c>
      <c r="H126" s="159">
        <v>140</v>
      </c>
      <c r="I126" s="158">
        <v>140.97999999999999</v>
      </c>
      <c r="J126" s="158">
        <v>920</v>
      </c>
      <c r="K126" s="158" t="s">
        <v>210</v>
      </c>
    </row>
    <row r="127" spans="3:18">
      <c r="C127" s="172" t="s">
        <v>352</v>
      </c>
      <c r="D127" s="172">
        <v>-104.89879999999999</v>
      </c>
      <c r="E127" s="172">
        <v>21.451499999999999</v>
      </c>
      <c r="F127" s="173">
        <v>112.66</v>
      </c>
      <c r="G127" s="173">
        <v>136</v>
      </c>
      <c r="H127" s="173">
        <v>140</v>
      </c>
      <c r="I127" s="173">
        <v>153.68</v>
      </c>
      <c r="J127" s="172">
        <v>1185</v>
      </c>
      <c r="K127" s="172" t="s">
        <v>210</v>
      </c>
    </row>
    <row r="128" spans="3:18">
      <c r="C128" s="157" t="s">
        <v>353</v>
      </c>
      <c r="D128" s="158">
        <v>-107.931</v>
      </c>
      <c r="E128" s="158">
        <v>432</v>
      </c>
      <c r="F128" s="158">
        <v>121.6</v>
      </c>
      <c r="G128" s="160">
        <v>147.21</v>
      </c>
      <c r="H128" s="159">
        <v>150</v>
      </c>
      <c r="I128" s="158">
        <v>158.1</v>
      </c>
      <c r="J128" s="158">
        <v>405</v>
      </c>
      <c r="K128" s="158" t="s">
        <v>196</v>
      </c>
    </row>
    <row r="129" spans="3:11">
      <c r="C129" s="157" t="s">
        <v>354</v>
      </c>
      <c r="D129" s="158">
        <v>-96.721000000000004</v>
      </c>
      <c r="E129" s="158">
        <v>396</v>
      </c>
      <c r="F129" s="158">
        <v>115.5</v>
      </c>
      <c r="G129" s="160">
        <v>147.74</v>
      </c>
      <c r="H129" s="159">
        <v>150</v>
      </c>
      <c r="I129" s="158">
        <v>140</v>
      </c>
      <c r="J129" s="158">
        <v>403</v>
      </c>
      <c r="K129" s="157" t="s">
        <v>196</v>
      </c>
    </row>
    <row r="130" spans="3:11">
      <c r="C130" s="172" t="s">
        <v>355</v>
      </c>
      <c r="D130" s="172">
        <v>-104.46899999999999</v>
      </c>
      <c r="E130" s="172">
        <v>501</v>
      </c>
      <c r="F130" s="173">
        <v>121.1</v>
      </c>
      <c r="G130" s="173">
        <v>146.97999999999999</v>
      </c>
      <c r="H130" s="173">
        <v>150</v>
      </c>
      <c r="I130" s="173">
        <v>151.1</v>
      </c>
      <c r="J130" s="172">
        <v>510</v>
      </c>
      <c r="K130" s="172" t="s">
        <v>196</v>
      </c>
    </row>
    <row r="131" spans="3:11">
      <c r="C131" s="172" t="s">
        <v>356</v>
      </c>
      <c r="D131" s="172">
        <v>-99.067999999999998</v>
      </c>
      <c r="E131" s="172">
        <v>2237</v>
      </c>
      <c r="F131" s="173">
        <v>91.4</v>
      </c>
      <c r="G131" s="173">
        <v>144.97</v>
      </c>
      <c r="H131" s="173">
        <v>150</v>
      </c>
      <c r="I131" s="173">
        <v>117</v>
      </c>
      <c r="J131" s="172">
        <v>690</v>
      </c>
      <c r="K131" s="172" t="s">
        <v>196</v>
      </c>
    </row>
    <row r="132" spans="3:11">
      <c r="C132" s="157" t="s">
        <v>357</v>
      </c>
      <c r="D132" s="158">
        <v>-97.097999999999999</v>
      </c>
      <c r="E132" s="158">
        <v>500</v>
      </c>
      <c r="F132" s="158">
        <v>129.80000000000001</v>
      </c>
      <c r="G132" s="160">
        <v>147.16</v>
      </c>
      <c r="H132" s="159">
        <v>150</v>
      </c>
      <c r="I132" s="158">
        <v>171.1</v>
      </c>
      <c r="J132" s="158">
        <v>500</v>
      </c>
      <c r="K132" s="158" t="s">
        <v>196</v>
      </c>
    </row>
    <row r="133" spans="3:11">
      <c r="C133" s="157" t="s">
        <v>358</v>
      </c>
      <c r="D133" s="158">
        <v>-100.82599999999999</v>
      </c>
      <c r="E133" s="158">
        <v>500</v>
      </c>
      <c r="F133" s="158">
        <v>81</v>
      </c>
      <c r="G133" s="160">
        <v>147.5</v>
      </c>
      <c r="H133" s="159">
        <v>150</v>
      </c>
      <c r="I133" s="158">
        <v>101.8</v>
      </c>
      <c r="J133" s="158">
        <v>540</v>
      </c>
      <c r="K133" s="158" t="s">
        <v>196</v>
      </c>
    </row>
    <row r="134" spans="3:11">
      <c r="C134" s="157" t="s">
        <v>359</v>
      </c>
      <c r="D134" s="158">
        <v>-98.75</v>
      </c>
      <c r="E134" s="158">
        <v>498</v>
      </c>
      <c r="F134" s="158">
        <v>90.3</v>
      </c>
      <c r="G134" s="160">
        <v>147.01</v>
      </c>
      <c r="H134" s="159">
        <v>150</v>
      </c>
      <c r="I134" s="158">
        <v>114.3</v>
      </c>
      <c r="J134" s="158">
        <v>512</v>
      </c>
      <c r="K134" s="158" t="s">
        <v>196</v>
      </c>
    </row>
    <row r="135" spans="3:11">
      <c r="C135" s="157" t="s">
        <v>360</v>
      </c>
      <c r="D135" s="158">
        <v>-91.991</v>
      </c>
      <c r="E135" s="158">
        <v>663</v>
      </c>
      <c r="F135" s="158">
        <v>72.7</v>
      </c>
      <c r="G135" s="160">
        <v>145.9</v>
      </c>
      <c r="H135" s="159">
        <v>150</v>
      </c>
      <c r="I135" s="158">
        <v>92.1</v>
      </c>
      <c r="J135" s="158">
        <v>540</v>
      </c>
      <c r="K135" s="158" t="s">
        <v>196</v>
      </c>
    </row>
    <row r="136" spans="3:11">
      <c r="C136" s="157" t="s">
        <v>361</v>
      </c>
      <c r="D136" s="158">
        <v>-100.54900000000001</v>
      </c>
      <c r="E136" s="158">
        <v>1606</v>
      </c>
      <c r="F136" s="158">
        <v>171.8</v>
      </c>
      <c r="G136" s="160">
        <v>121.9</v>
      </c>
      <c r="H136" s="159">
        <v>120</v>
      </c>
      <c r="I136" s="158">
        <v>209.1</v>
      </c>
      <c r="J136" s="158">
        <v>1530</v>
      </c>
      <c r="K136" s="158" t="s">
        <v>210</v>
      </c>
    </row>
    <row r="137" spans="3:11">
      <c r="C137" s="157" t="s">
        <v>362</v>
      </c>
      <c r="D137" s="158">
        <v>-109.684</v>
      </c>
      <c r="E137" s="158">
        <v>25</v>
      </c>
      <c r="F137" s="158">
        <v>109.21</v>
      </c>
      <c r="G137" s="160">
        <v>151.9</v>
      </c>
      <c r="H137" s="159">
        <v>150</v>
      </c>
      <c r="I137" s="158">
        <v>135.06</v>
      </c>
      <c r="J137" s="158">
        <v>1278</v>
      </c>
      <c r="K137" s="158" t="s">
        <v>213</v>
      </c>
    </row>
    <row r="138" spans="3:11">
      <c r="C138" s="172" t="s">
        <v>363</v>
      </c>
      <c r="D138" s="172">
        <v>-98.052999999999997</v>
      </c>
      <c r="E138" s="172">
        <v>2040</v>
      </c>
      <c r="F138" s="173">
        <v>96.6</v>
      </c>
      <c r="G138" s="173">
        <v>87.7</v>
      </c>
      <c r="H138" s="173">
        <v>90</v>
      </c>
      <c r="I138" s="173">
        <v>145.9</v>
      </c>
      <c r="J138" s="172">
        <v>2080</v>
      </c>
      <c r="K138" s="172" t="s">
        <v>210</v>
      </c>
    </row>
    <row r="139" spans="3:11">
      <c r="C139" s="157" t="s">
        <v>364</v>
      </c>
      <c r="D139" s="158">
        <v>-87.108999999999995</v>
      </c>
      <c r="E139" s="158">
        <v>1530</v>
      </c>
      <c r="F139" s="158">
        <v>131.63999999999999</v>
      </c>
      <c r="G139" s="160">
        <v>129</v>
      </c>
      <c r="H139" s="159">
        <v>130</v>
      </c>
      <c r="I139" s="158">
        <v>236.21</v>
      </c>
      <c r="J139" s="158">
        <v>1555</v>
      </c>
      <c r="K139" s="158" t="s">
        <v>213</v>
      </c>
    </row>
    <row r="140" spans="3:11">
      <c r="C140" s="172" t="s">
        <v>365</v>
      </c>
      <c r="D140" s="172">
        <v>-97.48</v>
      </c>
      <c r="E140" s="172">
        <v>195</v>
      </c>
      <c r="F140" s="173">
        <v>92.13</v>
      </c>
      <c r="G140" s="173">
        <v>122.9</v>
      </c>
      <c r="H140" s="173">
        <v>130</v>
      </c>
      <c r="I140" s="173">
        <v>127.77</v>
      </c>
      <c r="J140" s="172">
        <v>210</v>
      </c>
      <c r="K140" s="172" t="s">
        <v>213</v>
      </c>
    </row>
    <row r="141" spans="3:11">
      <c r="C141" s="172" t="s">
        <v>366</v>
      </c>
      <c r="D141" s="172">
        <v>-89.653999999999996</v>
      </c>
      <c r="E141" s="172">
        <v>8</v>
      </c>
      <c r="F141" s="173">
        <v>130</v>
      </c>
      <c r="G141" s="173">
        <v>127.1</v>
      </c>
      <c r="H141" s="173">
        <v>130</v>
      </c>
      <c r="I141" s="173">
        <v>231.4</v>
      </c>
      <c r="J141" s="172">
        <v>40</v>
      </c>
      <c r="K141" s="172" t="s">
        <v>213</v>
      </c>
    </row>
    <row r="142" spans="3:11">
      <c r="C142" s="172" t="s">
        <v>367</v>
      </c>
      <c r="D142" s="172">
        <v>-98.162999999999997</v>
      </c>
      <c r="E142" s="172">
        <v>53</v>
      </c>
      <c r="F142" s="173">
        <v>99.8</v>
      </c>
      <c r="G142" s="173">
        <v>94.68</v>
      </c>
      <c r="H142" s="173">
        <v>100</v>
      </c>
      <c r="I142" s="173">
        <v>126</v>
      </c>
      <c r="J142" s="172">
        <v>20</v>
      </c>
      <c r="K142" s="172" t="s">
        <v>210</v>
      </c>
    </row>
    <row r="143" spans="3:11">
      <c r="C143" s="172" t="s">
        <v>368</v>
      </c>
      <c r="D143" s="172">
        <v>-98.429400000000001</v>
      </c>
      <c r="E143" s="172">
        <v>18.9131</v>
      </c>
      <c r="F143" s="173">
        <v>96.62</v>
      </c>
      <c r="G143" s="173">
        <v>111.36</v>
      </c>
      <c r="H143" s="173">
        <v>110</v>
      </c>
      <c r="I143" s="173">
        <v>122.63</v>
      </c>
      <c r="J143" s="172">
        <v>1855</v>
      </c>
      <c r="K143" s="172" t="s">
        <v>210</v>
      </c>
    </row>
    <row r="144" spans="3:11">
      <c r="C144" s="172" t="s">
        <v>369</v>
      </c>
      <c r="D144" s="172">
        <v>-98.302099999999996</v>
      </c>
      <c r="E144" s="172">
        <v>19.076599999999999</v>
      </c>
      <c r="F144" s="173">
        <v>93.62</v>
      </c>
      <c r="G144" s="173">
        <v>107.95</v>
      </c>
      <c r="H144" s="173">
        <v>110</v>
      </c>
      <c r="I144" s="173">
        <v>118.32</v>
      </c>
      <c r="J144" s="172">
        <v>2182</v>
      </c>
      <c r="K144" s="172" t="s">
        <v>210</v>
      </c>
    </row>
    <row r="145" spans="3:11">
      <c r="C145" s="172" t="s">
        <v>370</v>
      </c>
      <c r="D145" s="172">
        <v>-111.83</v>
      </c>
      <c r="E145" s="172">
        <v>2179</v>
      </c>
      <c r="F145" s="173">
        <v>118.6</v>
      </c>
      <c r="G145" s="173">
        <v>114.3</v>
      </c>
      <c r="H145" s="173">
        <v>120</v>
      </c>
      <c r="I145" s="173">
        <v>180.7</v>
      </c>
      <c r="J145" s="172">
        <v>2135</v>
      </c>
      <c r="K145" s="172" t="s">
        <v>210</v>
      </c>
    </row>
    <row r="146" spans="3:11">
      <c r="C146" s="157" t="s">
        <v>371</v>
      </c>
      <c r="D146" s="158">
        <v>-113.548</v>
      </c>
      <c r="E146" s="158">
        <v>1648</v>
      </c>
      <c r="F146" s="158">
        <v>97.5</v>
      </c>
      <c r="G146" s="160">
        <v>138.30000000000001</v>
      </c>
      <c r="H146" s="159">
        <v>140</v>
      </c>
      <c r="I146" s="158">
        <v>129.4</v>
      </c>
      <c r="J146" s="158">
        <v>1896</v>
      </c>
      <c r="K146" s="158" t="s">
        <v>210</v>
      </c>
    </row>
    <row r="147" spans="3:11">
      <c r="C147" s="172" t="s">
        <v>372</v>
      </c>
      <c r="D147" s="158">
        <f>-97-5</f>
        <v>-102</v>
      </c>
      <c r="E147" s="158">
        <v>19.399999999999999</v>
      </c>
      <c r="F147" s="158">
        <v>104</v>
      </c>
      <c r="G147" s="160">
        <v>135</v>
      </c>
      <c r="H147" s="159">
        <v>140</v>
      </c>
      <c r="I147" s="158">
        <v>141</v>
      </c>
      <c r="J147" s="158">
        <v>2776</v>
      </c>
      <c r="K147" s="158" t="s">
        <v>210</v>
      </c>
    </row>
    <row r="148" spans="3:11">
      <c r="C148" s="172" t="s">
        <v>373</v>
      </c>
      <c r="D148" s="172">
        <v>-97.33</v>
      </c>
      <c r="E148" s="172">
        <v>19.809999999999999</v>
      </c>
      <c r="F148" s="173">
        <v>102</v>
      </c>
      <c r="G148" s="173">
        <v>123</v>
      </c>
      <c r="H148" s="173">
        <v>120</v>
      </c>
      <c r="I148" s="173">
        <v>136</v>
      </c>
      <c r="J148" s="172">
        <v>1920</v>
      </c>
      <c r="K148" s="172" t="s">
        <v>210</v>
      </c>
    </row>
    <row r="149" spans="3:11">
      <c r="C149" s="172" t="s">
        <v>374</v>
      </c>
      <c r="D149" s="172">
        <v>-100.44629999999999</v>
      </c>
      <c r="E149" s="172">
        <v>20.5335</v>
      </c>
      <c r="F149" s="173">
        <v>107.77</v>
      </c>
      <c r="G149" s="173">
        <v>125.01</v>
      </c>
      <c r="H149" s="173">
        <v>130</v>
      </c>
      <c r="I149" s="173">
        <v>141.51</v>
      </c>
      <c r="J149" s="172">
        <v>1859</v>
      </c>
      <c r="K149" s="172" t="s">
        <v>194</v>
      </c>
    </row>
    <row r="150" spans="3:11">
      <c r="C150" s="172" t="s">
        <v>375</v>
      </c>
      <c r="D150" s="172">
        <v>-100.3289</v>
      </c>
      <c r="E150" s="172">
        <v>20.6114</v>
      </c>
      <c r="F150" s="173">
        <v>107.71</v>
      </c>
      <c r="G150" s="173">
        <v>125.16</v>
      </c>
      <c r="H150" s="173">
        <v>130</v>
      </c>
      <c r="I150" s="173">
        <v>141.25</v>
      </c>
      <c r="J150" s="172">
        <v>1907</v>
      </c>
      <c r="K150" s="172" t="s">
        <v>194</v>
      </c>
    </row>
    <row r="151" spans="3:11">
      <c r="C151" s="172" t="s">
        <v>376</v>
      </c>
      <c r="D151" s="172"/>
      <c r="E151" s="172"/>
      <c r="F151" s="173">
        <v>103.7</v>
      </c>
      <c r="G151" s="173">
        <v>120</v>
      </c>
      <c r="H151" s="173">
        <v>120</v>
      </c>
      <c r="I151" s="173">
        <v>133</v>
      </c>
      <c r="J151" s="172">
        <v>1975</v>
      </c>
      <c r="K151" s="172" t="s">
        <v>194</v>
      </c>
    </row>
    <row r="152" spans="3:11">
      <c r="C152" s="157" t="s">
        <v>377</v>
      </c>
      <c r="D152" s="158">
        <v>-105.26</v>
      </c>
      <c r="E152" s="158">
        <v>1824</v>
      </c>
      <c r="F152" s="158">
        <v>114.16</v>
      </c>
      <c r="G152" s="160">
        <v>137.6</v>
      </c>
      <c r="H152" s="159">
        <v>140</v>
      </c>
      <c r="I152" s="158">
        <v>170.34</v>
      </c>
      <c r="J152" s="158">
        <v>1820</v>
      </c>
      <c r="K152" s="158" t="s">
        <v>194</v>
      </c>
    </row>
    <row r="153" spans="3:11">
      <c r="C153" s="172" t="s">
        <v>378</v>
      </c>
      <c r="D153" s="172">
        <v>-100.1395</v>
      </c>
      <c r="E153" s="172">
        <v>20.501000000000001</v>
      </c>
      <c r="F153" s="173">
        <v>108.95</v>
      </c>
      <c r="G153" s="173">
        <v>126.74</v>
      </c>
      <c r="H153" s="173">
        <v>130</v>
      </c>
      <c r="I153" s="173">
        <v>144.24</v>
      </c>
      <c r="J153" s="172">
        <v>1936</v>
      </c>
      <c r="K153" s="172" t="s">
        <v>194</v>
      </c>
    </row>
    <row r="154" spans="3:11">
      <c r="C154" s="157" t="s">
        <v>379</v>
      </c>
      <c r="D154" s="158">
        <v>-100.369</v>
      </c>
      <c r="E154" s="158">
        <v>1925</v>
      </c>
      <c r="F154" s="158">
        <v>117.8</v>
      </c>
      <c r="G154" s="160">
        <v>126.02</v>
      </c>
      <c r="H154" s="159">
        <v>130</v>
      </c>
      <c r="I154" s="158">
        <v>153.30000000000001</v>
      </c>
      <c r="J154" s="158">
        <v>1917</v>
      </c>
      <c r="K154" s="158" t="s">
        <v>194</v>
      </c>
    </row>
    <row r="155" spans="3:11">
      <c r="C155" s="157" t="s">
        <v>380</v>
      </c>
      <c r="D155" s="158">
        <v>-98.366</v>
      </c>
      <c r="E155" s="158">
        <v>1</v>
      </c>
      <c r="F155" s="158">
        <v>99.15</v>
      </c>
      <c r="G155" s="160">
        <v>195.92</v>
      </c>
      <c r="H155" s="159">
        <v>200</v>
      </c>
      <c r="I155" s="158">
        <v>131.63999999999999</v>
      </c>
      <c r="J155" s="158">
        <v>8</v>
      </c>
      <c r="K155" s="158" t="s">
        <v>196</v>
      </c>
    </row>
    <row r="156" spans="3:11">
      <c r="C156" s="157" t="s">
        <v>381</v>
      </c>
      <c r="D156" s="158">
        <v>-99.988</v>
      </c>
      <c r="E156" s="158">
        <v>9</v>
      </c>
      <c r="F156" s="158">
        <v>117.68</v>
      </c>
      <c r="G156" s="160">
        <v>150.1</v>
      </c>
      <c r="H156" s="159">
        <v>150</v>
      </c>
      <c r="I156" s="158">
        <v>155.12</v>
      </c>
      <c r="J156" s="158">
        <v>10</v>
      </c>
      <c r="K156" s="158" t="s">
        <v>194</v>
      </c>
    </row>
    <row r="157" spans="3:11">
      <c r="C157" s="157" t="s">
        <v>382</v>
      </c>
      <c r="D157" s="158">
        <v>-101.12</v>
      </c>
      <c r="E157" s="158">
        <v>8</v>
      </c>
      <c r="F157" s="158">
        <v>101.74</v>
      </c>
      <c r="G157" s="160">
        <v>198.7</v>
      </c>
      <c r="H157" s="159">
        <v>200</v>
      </c>
      <c r="I157" s="158">
        <v>128.03</v>
      </c>
      <c r="J157" s="158">
        <v>1</v>
      </c>
      <c r="K157" s="158" t="s">
        <v>196</v>
      </c>
    </row>
    <row r="158" spans="3:11">
      <c r="C158" s="157" t="s">
        <v>383</v>
      </c>
      <c r="D158" s="158">
        <v>-95.227000000000004</v>
      </c>
      <c r="E158" s="158">
        <v>10</v>
      </c>
      <c r="F158" s="158">
        <v>108.3</v>
      </c>
      <c r="G158" s="160">
        <v>140.4</v>
      </c>
      <c r="H158" s="159">
        <v>140</v>
      </c>
      <c r="I158" s="158">
        <v>142.30000000000001</v>
      </c>
      <c r="J158" s="158">
        <v>20</v>
      </c>
      <c r="K158" s="158" t="s">
        <v>196</v>
      </c>
    </row>
    <row r="159" spans="3:11">
      <c r="C159" s="157" t="s">
        <v>384</v>
      </c>
      <c r="D159" s="158">
        <v>-101.024</v>
      </c>
      <c r="E159" s="158">
        <v>3</v>
      </c>
      <c r="F159" s="158">
        <v>119.5</v>
      </c>
      <c r="G159" s="160">
        <v>199.9</v>
      </c>
      <c r="H159" s="159">
        <v>200</v>
      </c>
      <c r="I159" s="158">
        <v>151.9</v>
      </c>
      <c r="J159" s="158">
        <v>1</v>
      </c>
      <c r="K159" s="158" t="s">
        <v>196</v>
      </c>
    </row>
    <row r="160" spans="3:11">
      <c r="C160" s="157" t="s">
        <v>385</v>
      </c>
      <c r="D160" s="158">
        <v>-99.203000000000003</v>
      </c>
      <c r="E160" s="158">
        <v>11</v>
      </c>
      <c r="F160" s="158">
        <v>92.49</v>
      </c>
      <c r="G160" s="160">
        <v>190.63</v>
      </c>
      <c r="H160" s="159">
        <v>190</v>
      </c>
      <c r="I160" s="158">
        <v>118.22</v>
      </c>
      <c r="J160" s="158">
        <v>10</v>
      </c>
      <c r="K160" s="158" t="s">
        <v>196</v>
      </c>
    </row>
    <row r="161" spans="3:11">
      <c r="C161" s="157" t="s">
        <v>386</v>
      </c>
      <c r="D161" s="158">
        <v>-92.637</v>
      </c>
      <c r="E161" s="158">
        <v>124</v>
      </c>
      <c r="F161" s="158">
        <v>82.1</v>
      </c>
      <c r="G161" s="160">
        <v>124.92</v>
      </c>
      <c r="H161" s="159">
        <v>130</v>
      </c>
      <c r="I161" s="158">
        <v>106.1</v>
      </c>
      <c r="J161" s="158">
        <v>70</v>
      </c>
      <c r="K161" s="158" t="s">
        <v>196</v>
      </c>
    </row>
    <row r="162" spans="3:11">
      <c r="C162" s="157" t="s">
        <v>387</v>
      </c>
      <c r="D162" s="158">
        <v>-109.702</v>
      </c>
      <c r="E162" s="158">
        <v>129</v>
      </c>
      <c r="F162" s="158">
        <v>139.87</v>
      </c>
      <c r="G162" s="160">
        <v>114.4</v>
      </c>
      <c r="H162" s="159">
        <v>120</v>
      </c>
      <c r="I162" s="158">
        <v>212.9</v>
      </c>
      <c r="J162" s="158">
        <v>217</v>
      </c>
      <c r="K162" s="158" t="s">
        <v>194</v>
      </c>
    </row>
    <row r="163" spans="3:11">
      <c r="C163" s="157" t="s">
        <v>388</v>
      </c>
      <c r="D163" s="158">
        <v>-96.144999999999996</v>
      </c>
      <c r="E163" s="158">
        <v>990</v>
      </c>
      <c r="F163" s="158">
        <v>83.14</v>
      </c>
      <c r="G163" s="160">
        <v>137.12</v>
      </c>
      <c r="H163" s="159">
        <v>140</v>
      </c>
      <c r="I163" s="158">
        <v>102.01</v>
      </c>
      <c r="J163" s="158">
        <v>980</v>
      </c>
      <c r="K163" s="158" t="s">
        <v>196</v>
      </c>
    </row>
    <row r="164" spans="3:11">
      <c r="C164" s="157" t="s">
        <v>389</v>
      </c>
      <c r="D164" s="158">
        <v>-100.021</v>
      </c>
      <c r="E164" s="158">
        <v>1883</v>
      </c>
      <c r="F164" s="158">
        <v>108.4</v>
      </c>
      <c r="G164" s="160">
        <v>151.19999999999999</v>
      </c>
      <c r="H164" s="159">
        <v>150</v>
      </c>
      <c r="I164" s="158">
        <v>143.53</v>
      </c>
      <c r="J164" s="158">
        <v>1864</v>
      </c>
      <c r="K164" s="158" t="s">
        <v>196</v>
      </c>
    </row>
    <row r="165" spans="3:11">
      <c r="C165" s="157" t="s">
        <v>390</v>
      </c>
      <c r="D165" s="158">
        <v>-112.479</v>
      </c>
      <c r="E165" s="158">
        <v>1853</v>
      </c>
      <c r="F165" s="158">
        <v>104.1</v>
      </c>
      <c r="G165" s="160">
        <v>148</v>
      </c>
      <c r="H165" s="159">
        <v>150</v>
      </c>
      <c r="I165" s="158">
        <v>162.9</v>
      </c>
      <c r="J165" s="158">
        <v>1849</v>
      </c>
      <c r="K165" s="158" t="s">
        <v>196</v>
      </c>
    </row>
    <row r="166" spans="3:11">
      <c r="C166" s="157" t="s">
        <v>391</v>
      </c>
      <c r="D166" s="158">
        <v>-100.98699999999999</v>
      </c>
      <c r="E166" s="158">
        <v>29</v>
      </c>
      <c r="F166" s="158">
        <v>129.19999999999999</v>
      </c>
      <c r="G166" s="160">
        <v>126</v>
      </c>
      <c r="H166" s="159">
        <v>130</v>
      </c>
      <c r="I166" s="158">
        <v>168.9</v>
      </c>
      <c r="J166" s="158">
        <v>20</v>
      </c>
      <c r="K166" s="158" t="s">
        <v>196</v>
      </c>
    </row>
    <row r="167" spans="3:11">
      <c r="C167" s="157" t="s">
        <v>392</v>
      </c>
      <c r="D167" s="158">
        <v>-114.794</v>
      </c>
      <c r="E167" s="158">
        <v>39</v>
      </c>
      <c r="F167" s="158">
        <v>105.72</v>
      </c>
      <c r="G167" s="160">
        <v>130</v>
      </c>
      <c r="H167" s="159">
        <v>130</v>
      </c>
      <c r="I167" s="158">
        <v>130.41</v>
      </c>
      <c r="J167" s="158">
        <v>71</v>
      </c>
      <c r="K167" s="158" t="s">
        <v>194</v>
      </c>
    </row>
    <row r="168" spans="3:11">
      <c r="C168" s="172" t="s">
        <v>393</v>
      </c>
      <c r="D168" s="172">
        <v>-108.6146</v>
      </c>
      <c r="E168" s="172">
        <v>26.4176</v>
      </c>
      <c r="F168" s="173">
        <v>106.42</v>
      </c>
      <c r="G168" s="173">
        <v>126.23</v>
      </c>
      <c r="H168" s="173">
        <v>130</v>
      </c>
      <c r="I168" s="173">
        <v>143.74</v>
      </c>
      <c r="J168" s="172">
        <v>82</v>
      </c>
      <c r="K168" s="172" t="s">
        <v>210</v>
      </c>
    </row>
    <row r="169" spans="3:11">
      <c r="C169" s="172" t="s">
        <v>394</v>
      </c>
      <c r="D169" s="172">
        <v>-108.07</v>
      </c>
      <c r="E169" s="172">
        <v>25.45</v>
      </c>
      <c r="F169" s="173">
        <v>105.8</v>
      </c>
      <c r="G169" s="173">
        <v>133.5</v>
      </c>
      <c r="H169" s="173">
        <v>140</v>
      </c>
      <c r="I169" s="173">
        <v>157</v>
      </c>
      <c r="J169" s="172">
        <v>50</v>
      </c>
      <c r="K169" s="172" t="s">
        <v>194</v>
      </c>
    </row>
    <row r="170" spans="3:11">
      <c r="C170" s="172" t="s">
        <v>395</v>
      </c>
      <c r="D170" s="172">
        <v>-108.46729999999999</v>
      </c>
      <c r="E170" s="172">
        <v>25.566700000000001</v>
      </c>
      <c r="F170" s="173">
        <v>110.78</v>
      </c>
      <c r="G170" s="173">
        <v>138.25</v>
      </c>
      <c r="H170" s="173">
        <v>140</v>
      </c>
      <c r="I170" s="173">
        <v>162.97999999999999</v>
      </c>
      <c r="J170" s="172">
        <v>21</v>
      </c>
      <c r="K170" s="172" t="s">
        <v>210</v>
      </c>
    </row>
    <row r="171" spans="3:11">
      <c r="C171" s="172" t="s">
        <v>396</v>
      </c>
      <c r="D171" s="172">
        <v>-100.294</v>
      </c>
      <c r="E171" s="172">
        <v>13</v>
      </c>
      <c r="F171" s="173">
        <v>125.94</v>
      </c>
      <c r="G171" s="173">
        <v>147</v>
      </c>
      <c r="H171" s="173">
        <v>150</v>
      </c>
      <c r="I171" s="173">
        <v>164.33</v>
      </c>
      <c r="J171" s="172">
        <v>10</v>
      </c>
      <c r="K171" s="172" t="s">
        <v>210</v>
      </c>
    </row>
    <row r="172" spans="3:11">
      <c r="C172" s="172" t="s">
        <v>397</v>
      </c>
      <c r="D172" s="172">
        <v>-99.09</v>
      </c>
      <c r="E172" s="172">
        <v>2</v>
      </c>
      <c r="F172" s="173">
        <v>91.59</v>
      </c>
      <c r="G172" s="173">
        <v>172</v>
      </c>
      <c r="H172" s="173">
        <v>170</v>
      </c>
      <c r="I172" s="173">
        <v>117.24</v>
      </c>
      <c r="J172" s="172">
        <v>10</v>
      </c>
      <c r="K172" s="172" t="s">
        <v>194</v>
      </c>
    </row>
    <row r="173" spans="3:11">
      <c r="C173" s="157" t="s">
        <v>398</v>
      </c>
      <c r="D173" s="158">
        <v>-100.414</v>
      </c>
      <c r="E173" s="158">
        <v>38</v>
      </c>
      <c r="F173" s="158">
        <v>125.18</v>
      </c>
      <c r="G173" s="160">
        <v>152</v>
      </c>
      <c r="H173" s="159">
        <v>150</v>
      </c>
      <c r="I173" s="158">
        <v>162.94</v>
      </c>
      <c r="J173" s="158">
        <v>40</v>
      </c>
      <c r="K173" s="158" t="s">
        <v>194</v>
      </c>
    </row>
    <row r="174" spans="3:11">
      <c r="C174" s="157" t="s">
        <v>399</v>
      </c>
      <c r="D174" s="158">
        <v>-115.937</v>
      </c>
      <c r="E174" s="158">
        <v>12</v>
      </c>
      <c r="F174" s="158">
        <v>71.2</v>
      </c>
      <c r="G174" s="92">
        <v>123</v>
      </c>
      <c r="H174" s="159">
        <v>130</v>
      </c>
      <c r="I174" s="158">
        <v>98.4</v>
      </c>
      <c r="J174" s="158">
        <v>67</v>
      </c>
      <c r="K174" s="158" t="s">
        <v>210</v>
      </c>
    </row>
    <row r="175" spans="3:11">
      <c r="C175" s="158" t="s">
        <v>400</v>
      </c>
      <c r="D175" s="158">
        <v>-101.215</v>
      </c>
      <c r="E175" s="158">
        <v>3</v>
      </c>
      <c r="F175" s="158">
        <v>110.8</v>
      </c>
      <c r="G175" s="160">
        <v>123</v>
      </c>
      <c r="H175" s="159">
        <v>130</v>
      </c>
      <c r="I175" s="158">
        <v>139.1</v>
      </c>
      <c r="J175" s="158">
        <v>10</v>
      </c>
      <c r="K175" s="158" t="s">
        <v>194</v>
      </c>
    </row>
    <row r="176" spans="3:11">
      <c r="C176" s="172" t="s">
        <v>401</v>
      </c>
      <c r="D176" s="172">
        <v>-112.273</v>
      </c>
      <c r="E176" s="172">
        <v>211</v>
      </c>
      <c r="F176" s="173">
        <v>115</v>
      </c>
      <c r="G176" s="173">
        <v>106</v>
      </c>
      <c r="H176" s="173">
        <v>110</v>
      </c>
      <c r="I176" s="173">
        <v>167.3</v>
      </c>
      <c r="J176" s="172">
        <v>200</v>
      </c>
      <c r="K176" s="172" t="s">
        <v>194</v>
      </c>
    </row>
    <row r="177" spans="3:11">
      <c r="C177" s="172" t="s">
        <v>402</v>
      </c>
      <c r="D177" s="172">
        <v>-100.96299999999999</v>
      </c>
      <c r="E177" s="172">
        <v>1219</v>
      </c>
      <c r="F177" s="173">
        <v>127.58</v>
      </c>
      <c r="G177" s="173">
        <v>125</v>
      </c>
      <c r="H177" s="173">
        <v>130</v>
      </c>
      <c r="I177" s="173">
        <v>167.68</v>
      </c>
      <c r="J177" s="172">
        <v>1199</v>
      </c>
      <c r="K177" s="172" t="s">
        <v>194</v>
      </c>
    </row>
    <row r="178" spans="3:11">
      <c r="C178" s="172" t="s">
        <v>403</v>
      </c>
      <c r="D178" s="172">
        <v>-103.637</v>
      </c>
      <c r="E178" s="172">
        <v>48</v>
      </c>
      <c r="F178" s="173">
        <v>120</v>
      </c>
      <c r="G178" s="173">
        <v>151</v>
      </c>
      <c r="H178" s="173">
        <v>150</v>
      </c>
      <c r="I178" s="173">
        <v>146.69999999999999</v>
      </c>
      <c r="J178" s="172">
        <v>50</v>
      </c>
      <c r="K178" s="172" t="s">
        <v>194</v>
      </c>
    </row>
    <row r="179" spans="3:11">
      <c r="C179" s="157" t="s">
        <v>404</v>
      </c>
      <c r="D179" s="158">
        <v>-98.207999999999998</v>
      </c>
      <c r="E179" s="158">
        <v>1278</v>
      </c>
      <c r="F179" s="158">
        <v>109.7</v>
      </c>
      <c r="G179" s="160">
        <v>123</v>
      </c>
      <c r="H179" s="159">
        <v>130</v>
      </c>
      <c r="I179" s="158">
        <v>165.3</v>
      </c>
      <c r="J179" s="158">
        <v>1434</v>
      </c>
      <c r="K179" s="158" t="s">
        <v>210</v>
      </c>
    </row>
    <row r="180" spans="3:11">
      <c r="C180" s="157" t="s">
        <v>405</v>
      </c>
      <c r="D180" s="158">
        <v>-97.924999999999997</v>
      </c>
      <c r="E180" s="158">
        <v>3</v>
      </c>
      <c r="F180" s="158">
        <v>128.80000000000001</v>
      </c>
      <c r="G180" s="160">
        <v>114</v>
      </c>
      <c r="H180" s="159">
        <v>120</v>
      </c>
      <c r="I180" s="158">
        <v>181.9</v>
      </c>
      <c r="J180" s="158">
        <v>10</v>
      </c>
      <c r="K180" s="158" t="s">
        <v>210</v>
      </c>
    </row>
    <row r="181" spans="3:11">
      <c r="C181" s="157" t="s">
        <v>406</v>
      </c>
      <c r="D181" s="158">
        <v>-98.783000000000001</v>
      </c>
      <c r="E181" s="158">
        <v>44</v>
      </c>
      <c r="F181" s="158">
        <v>110</v>
      </c>
      <c r="G181" s="160">
        <v>118</v>
      </c>
      <c r="H181" s="159">
        <v>120</v>
      </c>
      <c r="I181" s="158">
        <v>140</v>
      </c>
      <c r="J181" s="158">
        <v>45</v>
      </c>
      <c r="K181" s="158" t="s">
        <v>213</v>
      </c>
    </row>
    <row r="182" spans="3:11">
      <c r="C182" s="157" t="s">
        <v>407</v>
      </c>
      <c r="D182" s="158">
        <v>-89.05</v>
      </c>
      <c r="E182" s="158">
        <v>1531</v>
      </c>
      <c r="F182" s="158">
        <v>94.8</v>
      </c>
      <c r="G182" s="160">
        <v>110</v>
      </c>
      <c r="H182" s="159">
        <v>110</v>
      </c>
      <c r="I182" s="158">
        <v>150.80000000000001</v>
      </c>
      <c r="J182" s="158">
        <v>1535</v>
      </c>
      <c r="K182" s="158" t="s">
        <v>194</v>
      </c>
    </row>
    <row r="183" spans="3:11">
      <c r="C183" s="172" t="s">
        <v>408</v>
      </c>
      <c r="D183" s="172">
        <v>-93.373199999999997</v>
      </c>
      <c r="E183" s="172">
        <v>18.001200000000001</v>
      </c>
      <c r="F183" s="173">
        <v>114.72</v>
      </c>
      <c r="G183" s="173">
        <v>132.96</v>
      </c>
      <c r="H183" s="173">
        <v>130</v>
      </c>
      <c r="I183" s="173">
        <v>147.16</v>
      </c>
      <c r="J183" s="172">
        <v>19</v>
      </c>
      <c r="K183" s="172" t="s">
        <v>194</v>
      </c>
    </row>
    <row r="184" spans="3:11">
      <c r="C184" s="172" t="s">
        <v>409</v>
      </c>
      <c r="D184" s="172">
        <v>-93.221699999999998</v>
      </c>
      <c r="E184" s="172">
        <v>18.261199999999999</v>
      </c>
      <c r="F184" s="173">
        <v>114.09</v>
      </c>
      <c r="G184" s="173">
        <v>132.76</v>
      </c>
      <c r="H184" s="173">
        <v>130</v>
      </c>
      <c r="I184" s="173">
        <v>147.36000000000001</v>
      </c>
      <c r="J184" s="172">
        <v>9</v>
      </c>
      <c r="K184" s="172" t="s">
        <v>194</v>
      </c>
    </row>
    <row r="185" spans="3:11">
      <c r="C185" s="172" t="s">
        <v>410</v>
      </c>
      <c r="D185" s="172">
        <v>-93.391800000000003</v>
      </c>
      <c r="E185" s="172">
        <v>17.832000000000001</v>
      </c>
      <c r="F185" s="173">
        <v>114.52</v>
      </c>
      <c r="G185" s="173">
        <v>132.59</v>
      </c>
      <c r="H185" s="173">
        <v>130</v>
      </c>
      <c r="I185" s="173">
        <v>146.96</v>
      </c>
      <c r="J185" s="172">
        <v>28</v>
      </c>
      <c r="K185" s="172" t="s">
        <v>210</v>
      </c>
    </row>
    <row r="186" spans="3:11">
      <c r="C186" s="172" t="s">
        <v>411</v>
      </c>
      <c r="D186" s="172">
        <v>-92.593599999999995</v>
      </c>
      <c r="E186" s="172">
        <v>17.7607</v>
      </c>
      <c r="F186" s="173">
        <v>102.11</v>
      </c>
      <c r="G186" s="173">
        <v>118.43</v>
      </c>
      <c r="H186" s="173">
        <v>120</v>
      </c>
      <c r="I186" s="173">
        <v>132.9</v>
      </c>
      <c r="J186" s="172">
        <v>32</v>
      </c>
      <c r="K186" s="172" t="s">
        <v>210</v>
      </c>
    </row>
    <row r="187" spans="3:11">
      <c r="C187" s="157" t="s">
        <v>412</v>
      </c>
      <c r="D187" s="158">
        <v>-92.296000000000006</v>
      </c>
      <c r="E187" s="158">
        <v>2397</v>
      </c>
      <c r="F187" s="158">
        <v>86.2</v>
      </c>
      <c r="G187" s="160">
        <v>130</v>
      </c>
      <c r="H187" s="159">
        <v>130</v>
      </c>
      <c r="I187" s="158">
        <v>113.9</v>
      </c>
      <c r="J187" s="158">
        <v>20</v>
      </c>
      <c r="K187" s="158" t="s">
        <v>194</v>
      </c>
    </row>
    <row r="188" spans="3:11">
      <c r="C188" s="157" t="s">
        <v>413</v>
      </c>
      <c r="D188" s="158">
        <v>-97.444000000000003</v>
      </c>
      <c r="E188" s="158">
        <v>32</v>
      </c>
      <c r="F188" s="158">
        <v>118.42</v>
      </c>
      <c r="G188" s="160">
        <v>152</v>
      </c>
      <c r="H188" s="159">
        <v>150</v>
      </c>
      <c r="I188" s="158">
        <v>157.68</v>
      </c>
      <c r="J188" s="158">
        <v>8</v>
      </c>
      <c r="K188" s="158" t="s">
        <v>196</v>
      </c>
    </row>
    <row r="189" spans="3:11">
      <c r="C189" s="157" t="s">
        <v>414</v>
      </c>
      <c r="D189" s="158">
        <v>-107.828</v>
      </c>
      <c r="E189" s="158">
        <v>337</v>
      </c>
      <c r="F189" s="158">
        <v>100.5</v>
      </c>
      <c r="G189" s="160">
        <v>127</v>
      </c>
      <c r="H189" s="159">
        <v>130</v>
      </c>
      <c r="I189" s="158">
        <v>126.5</v>
      </c>
      <c r="J189" s="158">
        <v>316</v>
      </c>
      <c r="K189" s="158" t="s">
        <v>196</v>
      </c>
    </row>
    <row r="190" spans="3:11">
      <c r="C190" s="157" t="s">
        <v>415</v>
      </c>
      <c r="D190" s="158">
        <v>-105.724</v>
      </c>
      <c r="E190" s="158">
        <v>3</v>
      </c>
      <c r="F190" s="158">
        <v>133.5</v>
      </c>
      <c r="G190" s="160">
        <v>164</v>
      </c>
      <c r="H190" s="159">
        <v>170</v>
      </c>
      <c r="I190" s="158">
        <v>167.1</v>
      </c>
      <c r="J190" s="158">
        <v>8</v>
      </c>
      <c r="K190" s="158" t="s">
        <v>196</v>
      </c>
    </row>
    <row r="191" spans="3:11">
      <c r="C191" s="157" t="s">
        <v>416</v>
      </c>
      <c r="D191" s="158">
        <v>-98.938000000000002</v>
      </c>
      <c r="E191" s="158">
        <v>14</v>
      </c>
      <c r="F191" s="158">
        <v>89.97</v>
      </c>
      <c r="G191" s="160">
        <v>153</v>
      </c>
      <c r="H191" s="159">
        <v>160</v>
      </c>
      <c r="I191" s="158">
        <v>115.52</v>
      </c>
      <c r="J191" s="158">
        <v>8</v>
      </c>
      <c r="K191" s="158" t="s">
        <v>196</v>
      </c>
    </row>
    <row r="192" spans="3:11">
      <c r="C192" s="157" t="s">
        <v>417</v>
      </c>
      <c r="D192" s="158">
        <v>-104.884</v>
      </c>
      <c r="E192" s="158">
        <v>141</v>
      </c>
      <c r="F192" s="158">
        <v>112.5</v>
      </c>
      <c r="G192" s="160">
        <v>130</v>
      </c>
      <c r="H192" s="159">
        <v>130</v>
      </c>
      <c r="I192" s="158">
        <v>148.80000000000001</v>
      </c>
      <c r="J192" s="158">
        <v>130</v>
      </c>
      <c r="K192" s="158" t="s">
        <v>196</v>
      </c>
    </row>
    <row r="193" spans="3:11">
      <c r="C193" s="157" t="s">
        <v>418</v>
      </c>
      <c r="D193" s="158">
        <v>-98.884</v>
      </c>
      <c r="E193" s="158">
        <v>40</v>
      </c>
      <c r="F193" s="158">
        <v>89.42</v>
      </c>
      <c r="G193" s="160">
        <v>115</v>
      </c>
      <c r="H193" s="159">
        <v>120</v>
      </c>
      <c r="I193" s="158">
        <v>115.29</v>
      </c>
      <c r="J193" s="158">
        <v>33</v>
      </c>
      <c r="K193" s="247" t="s">
        <v>196</v>
      </c>
    </row>
    <row r="194" spans="3:11">
      <c r="C194" s="157" t="s">
        <v>419</v>
      </c>
      <c r="D194" s="158">
        <v>-117.04600000000001</v>
      </c>
      <c r="E194" s="158">
        <v>20</v>
      </c>
      <c r="F194" s="158">
        <v>94.41</v>
      </c>
      <c r="G194" s="92">
        <v>133</v>
      </c>
      <c r="H194" s="159">
        <v>140</v>
      </c>
      <c r="I194" s="158">
        <v>119.36</v>
      </c>
      <c r="J194" s="158">
        <v>20</v>
      </c>
      <c r="K194" s="158" t="s">
        <v>196</v>
      </c>
    </row>
    <row r="195" spans="3:11">
      <c r="C195" s="157" t="s">
        <v>41</v>
      </c>
      <c r="D195" s="158">
        <v>-99.225999999999999</v>
      </c>
      <c r="E195" s="158">
        <v>6</v>
      </c>
      <c r="F195" s="158">
        <v>92.62</v>
      </c>
      <c r="G195" s="92">
        <v>155</v>
      </c>
      <c r="H195" s="159">
        <v>160</v>
      </c>
      <c r="I195" s="158">
        <v>118.64</v>
      </c>
      <c r="J195" s="158">
        <v>10</v>
      </c>
      <c r="K195" s="158" t="s">
        <v>196</v>
      </c>
    </row>
    <row r="196" spans="3:11">
      <c r="C196" s="172" t="s">
        <v>420</v>
      </c>
      <c r="D196" s="172">
        <v>-98.139300000000006</v>
      </c>
      <c r="E196" s="172">
        <v>19.415900000000001</v>
      </c>
      <c r="F196" s="173">
        <v>88.2</v>
      </c>
      <c r="G196" s="173">
        <v>102</v>
      </c>
      <c r="H196" s="173">
        <v>100</v>
      </c>
      <c r="I196" s="173">
        <v>109.74</v>
      </c>
      <c r="J196" s="172">
        <v>2437</v>
      </c>
      <c r="K196" s="172" t="s">
        <v>210</v>
      </c>
    </row>
    <row r="197" spans="3:11">
      <c r="C197" s="172" t="s">
        <v>421</v>
      </c>
      <c r="D197" s="172">
        <v>-98.191199999999995</v>
      </c>
      <c r="E197" s="172">
        <v>19.3126</v>
      </c>
      <c r="F197" s="173">
        <v>88.68</v>
      </c>
      <c r="G197" s="173">
        <v>102.51</v>
      </c>
      <c r="H197" s="173">
        <v>100</v>
      </c>
      <c r="I197" s="173">
        <v>110.33</v>
      </c>
      <c r="J197" s="172">
        <v>2293</v>
      </c>
      <c r="K197" s="172" t="s">
        <v>210</v>
      </c>
    </row>
    <row r="198" spans="3:11">
      <c r="C198" s="172" t="s">
        <v>422</v>
      </c>
      <c r="D198" s="172">
        <v>-97.923400000000001</v>
      </c>
      <c r="E198" s="172">
        <v>19.3185</v>
      </c>
      <c r="F198" s="173">
        <v>95.88</v>
      </c>
      <c r="G198" s="173">
        <v>111.26</v>
      </c>
      <c r="H198" s="173">
        <v>110</v>
      </c>
      <c r="I198" s="173">
        <v>120.64</v>
      </c>
      <c r="J198" s="172">
        <v>2510</v>
      </c>
      <c r="K198" s="172" t="s">
        <v>210</v>
      </c>
    </row>
    <row r="199" spans="3:11">
      <c r="C199" s="172" t="s">
        <v>423</v>
      </c>
      <c r="D199" s="172">
        <v>-98.161199999999994</v>
      </c>
      <c r="E199" s="172">
        <v>19.131599999999999</v>
      </c>
      <c r="F199" s="173">
        <v>93.94</v>
      </c>
      <c r="G199" s="173">
        <v>108.78</v>
      </c>
      <c r="H199" s="173">
        <v>110</v>
      </c>
      <c r="I199" s="173">
        <v>118.81</v>
      </c>
      <c r="J199" s="172">
        <v>2313</v>
      </c>
      <c r="K199" s="172" t="s">
        <v>210</v>
      </c>
    </row>
    <row r="200" spans="3:11">
      <c r="C200" s="157" t="s">
        <v>424</v>
      </c>
      <c r="D200" s="158">
        <v>-103.32299999999999</v>
      </c>
      <c r="E200" s="158">
        <v>2248</v>
      </c>
      <c r="F200" s="158">
        <v>74.099999999999994</v>
      </c>
      <c r="G200" s="92">
        <v>86</v>
      </c>
      <c r="H200" s="159">
        <v>90</v>
      </c>
      <c r="I200" s="158">
        <v>95.9</v>
      </c>
      <c r="J200" s="158">
        <v>2425</v>
      </c>
      <c r="K200" s="158" t="s">
        <v>196</v>
      </c>
    </row>
    <row r="201" spans="3:11">
      <c r="C201" s="157" t="s">
        <v>425</v>
      </c>
      <c r="D201" s="158"/>
      <c r="E201" s="158"/>
      <c r="F201" s="158"/>
      <c r="G201" s="92">
        <v>113</v>
      </c>
      <c r="H201" s="159">
        <v>120</v>
      </c>
      <c r="I201" s="158"/>
      <c r="J201" s="158">
        <v>21</v>
      </c>
      <c r="K201" s="158" t="s">
        <v>194</v>
      </c>
    </row>
    <row r="202" spans="3:11">
      <c r="C202" s="157" t="s">
        <v>426</v>
      </c>
      <c r="D202" s="158">
        <v>-98.247</v>
      </c>
      <c r="E202" s="158">
        <v>64</v>
      </c>
      <c r="F202" s="158">
        <v>74.099999999999994</v>
      </c>
      <c r="G202" s="92">
        <v>131</v>
      </c>
      <c r="H202" s="159">
        <v>120</v>
      </c>
      <c r="I202" s="158">
        <v>95.9</v>
      </c>
      <c r="J202" s="158">
        <v>10</v>
      </c>
      <c r="K202" s="158" t="s">
        <v>210</v>
      </c>
    </row>
    <row r="203" spans="3:11">
      <c r="C203" s="172" t="s">
        <v>427</v>
      </c>
      <c r="D203" s="172">
        <v>-99.713999999999999</v>
      </c>
      <c r="E203" s="172">
        <v>107</v>
      </c>
      <c r="F203" s="173">
        <v>84.1</v>
      </c>
      <c r="G203" s="173">
        <v>92</v>
      </c>
      <c r="H203" s="173">
        <v>90</v>
      </c>
      <c r="I203" s="173">
        <v>105.8</v>
      </c>
      <c r="J203" s="172">
        <v>50</v>
      </c>
      <c r="K203" s="172" t="s">
        <v>210</v>
      </c>
    </row>
    <row r="204" spans="3:11">
      <c r="C204" s="172" t="s">
        <v>428</v>
      </c>
      <c r="D204" s="172">
        <v>-103.253</v>
      </c>
      <c r="E204" s="172">
        <v>37</v>
      </c>
      <c r="F204" s="173">
        <v>98.07</v>
      </c>
      <c r="G204" s="173">
        <v>140</v>
      </c>
      <c r="H204" s="173">
        <v>140</v>
      </c>
      <c r="I204" s="173">
        <v>125.54</v>
      </c>
      <c r="J204" s="172">
        <v>10</v>
      </c>
      <c r="K204" s="172" t="s">
        <v>210</v>
      </c>
    </row>
    <row r="205" spans="3:11">
      <c r="C205" s="157" t="s">
        <v>429</v>
      </c>
      <c r="D205" s="158">
        <v>-103.416</v>
      </c>
      <c r="E205" s="158">
        <v>832</v>
      </c>
      <c r="F205" s="158">
        <v>133</v>
      </c>
      <c r="G205" s="92">
        <v>151</v>
      </c>
      <c r="H205" s="159">
        <v>150</v>
      </c>
      <c r="I205" s="158">
        <v>175.1</v>
      </c>
      <c r="J205" s="158">
        <v>389</v>
      </c>
      <c r="K205" s="158" t="s">
        <v>210</v>
      </c>
    </row>
    <row r="206" spans="3:11">
      <c r="C206" s="157" t="s">
        <v>430</v>
      </c>
      <c r="D206" s="158">
        <v>-98.356999999999999</v>
      </c>
      <c r="E206" s="158">
        <v>21</v>
      </c>
      <c r="F206" s="158">
        <v>95.5</v>
      </c>
      <c r="G206" s="92">
        <v>154</v>
      </c>
      <c r="H206" s="159">
        <v>160</v>
      </c>
      <c r="I206" s="158">
        <v>119.8</v>
      </c>
      <c r="J206" s="158">
        <v>20</v>
      </c>
      <c r="K206" s="158" t="s">
        <v>194</v>
      </c>
    </row>
    <row r="207" spans="3:11">
      <c r="C207" s="157" t="s">
        <v>431</v>
      </c>
      <c r="D207" s="158">
        <v>-97.417000000000002</v>
      </c>
      <c r="E207" s="158">
        <v>27</v>
      </c>
      <c r="F207" s="158">
        <v>96.9</v>
      </c>
      <c r="G207" s="92">
        <v>140</v>
      </c>
      <c r="H207" s="159">
        <v>140</v>
      </c>
      <c r="I207" s="158">
        <v>163.5</v>
      </c>
      <c r="J207" s="158">
        <v>10</v>
      </c>
      <c r="K207" s="247" t="s">
        <v>210</v>
      </c>
    </row>
    <row r="208" spans="3:11">
      <c r="C208" s="157" t="s">
        <v>432</v>
      </c>
      <c r="D208" s="158">
        <v>-93.147000000000006</v>
      </c>
      <c r="E208" s="158">
        <v>1259</v>
      </c>
      <c r="F208" s="158">
        <v>111.4</v>
      </c>
      <c r="G208" s="92">
        <v>152</v>
      </c>
      <c r="H208" s="159">
        <v>150</v>
      </c>
      <c r="I208" s="158">
        <v>140.30000000000001</v>
      </c>
      <c r="J208" s="158">
        <v>1236</v>
      </c>
      <c r="K208" s="158" t="s">
        <v>210</v>
      </c>
    </row>
    <row r="209" spans="3:11">
      <c r="C209" s="157" t="s">
        <v>433</v>
      </c>
      <c r="D209" s="158">
        <v>-97.29</v>
      </c>
      <c r="E209" s="158">
        <v>19.559999999999999</v>
      </c>
      <c r="F209" s="158">
        <v>124</v>
      </c>
      <c r="G209" s="92">
        <v>136</v>
      </c>
      <c r="H209" s="159">
        <v>140</v>
      </c>
      <c r="I209" s="158">
        <v>147</v>
      </c>
      <c r="J209" s="158">
        <v>2416</v>
      </c>
      <c r="K209" s="158" t="s">
        <v>210</v>
      </c>
    </row>
    <row r="210" spans="3:11">
      <c r="C210" s="157" t="s">
        <v>434</v>
      </c>
      <c r="D210" s="158">
        <v>-102.07</v>
      </c>
      <c r="E210" s="158">
        <v>59</v>
      </c>
      <c r="F210" s="158">
        <v>95.24</v>
      </c>
      <c r="G210" s="92">
        <v>112</v>
      </c>
      <c r="H210" s="159">
        <v>110</v>
      </c>
      <c r="I210" s="158">
        <v>125.49</v>
      </c>
      <c r="J210" s="158">
        <v>50</v>
      </c>
      <c r="K210" s="158" t="s">
        <v>194</v>
      </c>
    </row>
    <row r="211" spans="3:11">
      <c r="C211" s="157" t="s">
        <v>435</v>
      </c>
      <c r="D211" s="158">
        <v>-88.215999999999994</v>
      </c>
      <c r="E211" s="158">
        <v>10</v>
      </c>
      <c r="F211" s="158">
        <v>107.8</v>
      </c>
      <c r="G211" s="92">
        <v>129</v>
      </c>
      <c r="H211" s="159">
        <v>130</v>
      </c>
      <c r="I211" s="158">
        <v>189.3</v>
      </c>
      <c r="J211" s="158">
        <v>10</v>
      </c>
      <c r="K211" s="158" t="s">
        <v>194</v>
      </c>
    </row>
    <row r="212" spans="3:11">
      <c r="C212" s="157" t="s">
        <v>436</v>
      </c>
      <c r="D212" s="158">
        <v>-96.111000000000004</v>
      </c>
      <c r="E212" s="158">
        <v>16</v>
      </c>
      <c r="F212" s="158">
        <v>161.19999999999999</v>
      </c>
      <c r="G212" s="92">
        <v>180</v>
      </c>
      <c r="H212" s="159">
        <v>180</v>
      </c>
      <c r="I212" s="158">
        <v>193.8</v>
      </c>
      <c r="J212" s="158">
        <v>10</v>
      </c>
      <c r="K212" s="158" t="s">
        <v>194</v>
      </c>
    </row>
    <row r="213" spans="3:11">
      <c r="C213" s="157" t="s">
        <v>437</v>
      </c>
      <c r="D213" s="158">
        <v>-106.505</v>
      </c>
      <c r="E213" s="158">
        <v>1360</v>
      </c>
      <c r="F213" s="158">
        <v>131.4</v>
      </c>
      <c r="G213" s="92">
        <v>131</v>
      </c>
      <c r="H213" s="159">
        <v>130</v>
      </c>
      <c r="I213" s="158">
        <v>161.69999999999999</v>
      </c>
      <c r="J213" s="158">
        <v>1470</v>
      </c>
      <c r="K213" s="158" t="s">
        <v>194</v>
      </c>
    </row>
    <row r="214" spans="3:11">
      <c r="C214" s="157" t="s">
        <v>438</v>
      </c>
      <c r="D214" s="158">
        <v>-99.346999999999994</v>
      </c>
      <c r="E214" s="158">
        <v>10</v>
      </c>
      <c r="F214" s="158">
        <v>93.01</v>
      </c>
      <c r="G214" s="92">
        <v>135</v>
      </c>
      <c r="H214" s="159">
        <v>140</v>
      </c>
      <c r="I214" s="158">
        <v>118.24</v>
      </c>
      <c r="J214" s="158">
        <v>3</v>
      </c>
      <c r="K214" s="158" t="s">
        <v>210</v>
      </c>
    </row>
    <row r="215" spans="3:11">
      <c r="C215" s="157" t="s">
        <v>439</v>
      </c>
      <c r="D215" s="158">
        <v>-92.921000000000006</v>
      </c>
      <c r="E215" s="158">
        <v>12</v>
      </c>
      <c r="F215" s="158">
        <v>112.4</v>
      </c>
      <c r="G215" s="92">
        <v>164</v>
      </c>
      <c r="H215" s="159">
        <v>170</v>
      </c>
      <c r="I215" s="158">
        <v>145.5</v>
      </c>
      <c r="J215" s="158">
        <v>10</v>
      </c>
      <c r="K215" s="158" t="s">
        <v>196</v>
      </c>
    </row>
    <row r="216" spans="3:11">
      <c r="C216" s="157" t="s">
        <v>440</v>
      </c>
      <c r="D216" s="158">
        <v>-96.903999999999996</v>
      </c>
      <c r="E216" s="158">
        <v>0</v>
      </c>
      <c r="F216" s="158">
        <v>112</v>
      </c>
      <c r="G216" s="92">
        <v>189</v>
      </c>
      <c r="H216" s="159">
        <v>190</v>
      </c>
      <c r="I216" s="158">
        <v>146.6</v>
      </c>
      <c r="J216" s="158">
        <v>0</v>
      </c>
      <c r="K216" s="158" t="s">
        <v>196</v>
      </c>
    </row>
    <row r="217" spans="3:11">
      <c r="C217" s="157" t="s">
        <v>441</v>
      </c>
      <c r="D217" s="158">
        <v>-98.975999999999999</v>
      </c>
      <c r="E217" s="158">
        <v>30</v>
      </c>
      <c r="F217" s="158">
        <v>91.44</v>
      </c>
      <c r="G217" s="92">
        <v>123</v>
      </c>
      <c r="H217" s="159">
        <v>130</v>
      </c>
      <c r="I217" s="158">
        <v>118.22</v>
      </c>
      <c r="J217" s="158">
        <v>30</v>
      </c>
      <c r="K217" s="158" t="s">
        <v>196</v>
      </c>
    </row>
    <row r="218" spans="3:11">
      <c r="C218" s="157" t="s">
        <v>442</v>
      </c>
      <c r="D218" s="158">
        <v>-89.53</v>
      </c>
      <c r="E218" s="158">
        <v>20.38</v>
      </c>
      <c r="F218" s="158"/>
      <c r="G218" s="92">
        <v>139.5</v>
      </c>
      <c r="H218" s="159">
        <v>140</v>
      </c>
      <c r="I218" s="158"/>
      <c r="J218" s="158">
        <v>20</v>
      </c>
      <c r="K218" s="158" t="s">
        <v>196</v>
      </c>
    </row>
    <row r="219" spans="3:11">
      <c r="C219" s="172" t="s">
        <v>443</v>
      </c>
      <c r="D219" s="172">
        <v>-108.931</v>
      </c>
      <c r="E219" s="172">
        <v>27</v>
      </c>
      <c r="F219" s="173">
        <v>97.6</v>
      </c>
      <c r="G219" s="173">
        <v>153</v>
      </c>
      <c r="H219" s="173">
        <v>160</v>
      </c>
      <c r="I219" s="173">
        <v>121.2</v>
      </c>
      <c r="J219" s="172">
        <v>9</v>
      </c>
      <c r="K219" s="172" t="s">
        <v>196</v>
      </c>
    </row>
    <row r="220" spans="3:11">
      <c r="C220" s="172" t="s">
        <v>444</v>
      </c>
      <c r="D220" s="172">
        <v>-102.56699999999999</v>
      </c>
      <c r="E220" s="172">
        <v>2192</v>
      </c>
      <c r="F220" s="173">
        <v>119.8</v>
      </c>
      <c r="G220" s="173">
        <v>137</v>
      </c>
      <c r="H220" s="173">
        <v>140</v>
      </c>
      <c r="I220" s="173">
        <v>154.69999999999999</v>
      </c>
      <c r="J220" s="172">
        <v>2210</v>
      </c>
      <c r="K220" s="172" t="s">
        <v>196</v>
      </c>
    </row>
    <row r="221" spans="3:11">
      <c r="C221" s="172" t="s">
        <v>445</v>
      </c>
      <c r="D221" s="172">
        <v>-102.5119</v>
      </c>
      <c r="E221" s="172">
        <v>22.756599999999999</v>
      </c>
      <c r="F221" s="173">
        <v>118.06</v>
      </c>
      <c r="G221" s="173">
        <v>137.02000000000001</v>
      </c>
      <c r="H221" s="173">
        <v>140</v>
      </c>
      <c r="I221" s="173">
        <v>151.71</v>
      </c>
      <c r="J221" s="172">
        <v>2356</v>
      </c>
      <c r="K221" s="172" t="s">
        <v>196</v>
      </c>
    </row>
    <row r="222" spans="3:11">
      <c r="C222" s="172" t="s">
        <v>446</v>
      </c>
      <c r="D222" s="172">
        <v>-101.57470000000001</v>
      </c>
      <c r="E222" s="172">
        <v>22.2973</v>
      </c>
      <c r="F222" s="173">
        <v>124.35</v>
      </c>
      <c r="G222" s="173">
        <v>145.38999999999999</v>
      </c>
      <c r="H222" s="173">
        <v>150</v>
      </c>
      <c r="I222" s="173">
        <v>163.11000000000001</v>
      </c>
      <c r="J222" s="172">
        <v>2444</v>
      </c>
      <c r="K222" s="172" t="s">
        <v>196</v>
      </c>
    </row>
    <row r="223" spans="3:11">
      <c r="C223" s="172" t="s">
        <v>447</v>
      </c>
      <c r="D223" s="172">
        <v>-103.03279999999999</v>
      </c>
      <c r="E223" s="172">
        <v>23.827200000000001</v>
      </c>
      <c r="F223" s="173">
        <v>121.54</v>
      </c>
      <c r="G223" s="173">
        <v>138.38999999999999</v>
      </c>
      <c r="H223" s="173">
        <v>140</v>
      </c>
      <c r="I223" s="173">
        <v>151.04</v>
      </c>
      <c r="J223" s="172">
        <v>1875</v>
      </c>
      <c r="K223" s="172" t="s">
        <v>196</v>
      </c>
    </row>
    <row r="224" spans="3:11">
      <c r="C224" s="172" t="s">
        <v>448</v>
      </c>
      <c r="D224" s="172">
        <v>-102.282</v>
      </c>
      <c r="E224" s="172">
        <v>2351</v>
      </c>
      <c r="F224" s="173">
        <v>98.4</v>
      </c>
      <c r="G224" s="173">
        <v>134</v>
      </c>
      <c r="H224" s="173">
        <v>140</v>
      </c>
      <c r="I224" s="173">
        <v>128.80000000000001</v>
      </c>
      <c r="J224" s="172">
        <v>2500</v>
      </c>
      <c r="K224" s="172" t="s">
        <v>196</v>
      </c>
    </row>
    <row r="225" spans="3:11">
      <c r="C225" s="172" t="s">
        <v>449</v>
      </c>
      <c r="D225" s="172">
        <v>-103.393</v>
      </c>
      <c r="E225" s="172">
        <v>2612</v>
      </c>
      <c r="F225" s="173">
        <v>96.86</v>
      </c>
      <c r="G225" s="173">
        <v>139</v>
      </c>
      <c r="H225" s="173">
        <v>140</v>
      </c>
      <c r="I225" s="173">
        <v>123.36</v>
      </c>
      <c r="J225" s="172">
        <v>2440</v>
      </c>
      <c r="K225" s="172" t="s">
        <v>196</v>
      </c>
    </row>
    <row r="226" spans="3:11">
      <c r="C226" s="178"/>
      <c r="D226" s="171"/>
      <c r="E226" s="171"/>
      <c r="F226" s="171"/>
      <c r="G226" s="91"/>
      <c r="H226" s="174"/>
      <c r="I226" s="171"/>
      <c r="J226" s="171"/>
      <c r="K226" s="171"/>
    </row>
    <row r="227" spans="3:11">
      <c r="C227" s="178"/>
      <c r="D227" s="171"/>
      <c r="E227" s="171"/>
      <c r="F227" s="171"/>
      <c r="G227" s="91"/>
      <c r="H227" s="174"/>
      <c r="I227" s="171"/>
      <c r="J227" s="171"/>
      <c r="K227" s="171"/>
    </row>
    <row r="228" spans="3:11">
      <c r="C228" s="178"/>
      <c r="D228" s="171"/>
      <c r="E228" s="171"/>
      <c r="F228" s="171"/>
      <c r="G228" s="91"/>
      <c r="H228" s="174"/>
      <c r="I228" s="171"/>
      <c r="J228" s="171"/>
      <c r="K228" s="171"/>
    </row>
    <row r="229" spans="3:11">
      <c r="C229" s="178"/>
      <c r="D229" s="171"/>
      <c r="E229" s="171"/>
      <c r="F229" s="171"/>
      <c r="G229" s="91"/>
      <c r="H229" s="174"/>
      <c r="I229" s="171"/>
      <c r="J229" s="171"/>
      <c r="K229" s="171"/>
    </row>
    <row r="230" spans="3:11">
      <c r="C230" s="178"/>
      <c r="D230" s="171"/>
      <c r="E230" s="171"/>
      <c r="F230" s="171"/>
      <c r="G230" s="91"/>
      <c r="H230" s="174"/>
      <c r="I230" s="171"/>
      <c r="J230" s="171"/>
      <c r="K230" s="171"/>
    </row>
    <row r="231" spans="3:11">
      <c r="C231" s="178"/>
      <c r="D231" s="171"/>
      <c r="E231" s="171"/>
      <c r="F231" s="171"/>
      <c r="G231" s="91"/>
      <c r="H231" s="174"/>
      <c r="I231" s="171"/>
      <c r="J231" s="171"/>
      <c r="K231" s="171"/>
    </row>
    <row r="232" spans="3:11">
      <c r="C232" s="178"/>
      <c r="D232" s="171"/>
      <c r="E232" s="171"/>
      <c r="F232" s="171"/>
      <c r="G232" s="91"/>
      <c r="H232" s="174"/>
      <c r="I232" s="171"/>
      <c r="J232" s="171"/>
      <c r="K232" s="171"/>
    </row>
    <row r="233" spans="3:11">
      <c r="C233" s="178"/>
      <c r="D233" s="171"/>
      <c r="E233" s="171"/>
      <c r="F233" s="171"/>
      <c r="G233" s="91"/>
      <c r="H233" s="174"/>
      <c r="I233" s="171"/>
      <c r="J233" s="171"/>
      <c r="K233" s="171"/>
    </row>
    <row r="234" spans="3:11">
      <c r="C234" s="178"/>
      <c r="D234" s="171"/>
      <c r="E234" s="171"/>
      <c r="F234" s="171"/>
      <c r="G234" s="91"/>
      <c r="H234" s="174"/>
      <c r="I234" s="171"/>
      <c r="J234" s="171"/>
      <c r="K234" s="171"/>
    </row>
    <row r="235" spans="3:11">
      <c r="C235" s="112"/>
      <c r="D235" s="112"/>
      <c r="E235" s="112"/>
      <c r="F235" s="179"/>
      <c r="G235" s="179"/>
      <c r="H235" s="179"/>
      <c r="I235" s="179"/>
      <c r="J235" s="112"/>
      <c r="K235" s="112"/>
    </row>
    <row r="236" spans="3:11">
      <c r="C236" s="112"/>
      <c r="D236" s="112"/>
      <c r="E236" s="112"/>
      <c r="F236" s="179"/>
      <c r="G236" s="179"/>
      <c r="H236" s="179"/>
      <c r="I236" s="179"/>
      <c r="J236" s="112"/>
      <c r="K236" s="112"/>
    </row>
    <row r="237" spans="3:11">
      <c r="C237" s="112"/>
      <c r="D237" s="112"/>
      <c r="E237" s="112"/>
      <c r="F237" s="179"/>
      <c r="G237" s="179"/>
      <c r="H237" s="179"/>
      <c r="I237" s="179"/>
      <c r="J237" s="112"/>
      <c r="K237" s="112"/>
    </row>
    <row r="238" spans="3:11">
      <c r="C238" s="112"/>
      <c r="D238" s="112"/>
      <c r="E238" s="112"/>
      <c r="F238" s="179"/>
      <c r="G238" s="179"/>
      <c r="H238" s="179"/>
      <c r="I238" s="179"/>
      <c r="J238" s="112"/>
      <c r="K238" s="112"/>
    </row>
    <row r="239" spans="3:11">
      <c r="C239" s="178"/>
      <c r="D239" s="171"/>
      <c r="E239" s="171"/>
      <c r="F239" s="171"/>
      <c r="G239" s="91"/>
      <c r="H239" s="174"/>
      <c r="I239" s="171"/>
      <c r="J239" s="171"/>
      <c r="K239" s="171"/>
    </row>
    <row r="240" spans="3:11">
      <c r="C240" s="178"/>
      <c r="D240" s="171"/>
      <c r="E240" s="171"/>
      <c r="F240" s="171"/>
      <c r="G240" s="91"/>
      <c r="H240" s="174"/>
      <c r="I240" s="171"/>
      <c r="J240" s="171"/>
      <c r="K240" s="171"/>
    </row>
    <row r="241" spans="3:11">
      <c r="C241" s="178"/>
      <c r="D241" s="171"/>
      <c r="E241" s="171"/>
      <c r="F241" s="171"/>
      <c r="G241" s="91"/>
      <c r="H241" s="174"/>
      <c r="I241" s="171"/>
      <c r="J241" s="171"/>
      <c r="K241" s="171"/>
    </row>
    <row r="242" spans="3:11">
      <c r="C242" s="178"/>
      <c r="D242" s="171"/>
      <c r="E242" s="171"/>
      <c r="F242" s="171"/>
      <c r="G242" s="91"/>
      <c r="H242" s="174"/>
      <c r="I242" s="171"/>
      <c r="J242" s="171"/>
      <c r="K242" s="171"/>
    </row>
    <row r="243" spans="3:11">
      <c r="C243" s="178"/>
      <c r="D243" s="171"/>
      <c r="E243" s="171"/>
      <c r="F243" s="171"/>
      <c r="G243" s="91"/>
      <c r="H243" s="174"/>
      <c r="I243" s="171"/>
      <c r="J243" s="171"/>
      <c r="K243" s="171"/>
    </row>
    <row r="244" spans="3:11">
      <c r="C244" s="178"/>
      <c r="D244" s="171"/>
      <c r="E244" s="171"/>
      <c r="F244" s="171"/>
      <c r="G244" s="91"/>
      <c r="H244" s="174"/>
      <c r="I244" s="171"/>
      <c r="J244" s="171"/>
      <c r="K244" s="171"/>
    </row>
    <row r="245" spans="3:11">
      <c r="C245" s="178"/>
      <c r="D245" s="171"/>
      <c r="E245" s="171"/>
      <c r="F245" s="171"/>
      <c r="G245" s="91"/>
      <c r="H245" s="174"/>
      <c r="I245" s="171"/>
      <c r="J245" s="171"/>
      <c r="K245" s="171"/>
    </row>
    <row r="246" spans="3:11">
      <c r="C246" s="178"/>
      <c r="D246" s="171"/>
      <c r="E246" s="171"/>
      <c r="F246" s="171"/>
      <c r="G246" s="91"/>
      <c r="H246" s="174"/>
      <c r="I246" s="171"/>
      <c r="J246" s="171"/>
      <c r="K246" s="171"/>
    </row>
    <row r="247" spans="3:11">
      <c r="C247" s="178"/>
      <c r="D247" s="171"/>
      <c r="E247" s="171"/>
      <c r="F247" s="171"/>
      <c r="G247" s="91"/>
      <c r="H247" s="174"/>
      <c r="I247" s="171"/>
      <c r="J247" s="171"/>
      <c r="K247" s="171"/>
    </row>
    <row r="248" spans="3:11">
      <c r="C248" s="178"/>
      <c r="D248" s="171"/>
      <c r="E248" s="171"/>
      <c r="F248" s="171"/>
      <c r="G248" s="91"/>
      <c r="H248" s="174"/>
      <c r="I248" s="171"/>
      <c r="J248" s="171"/>
      <c r="K248" s="171"/>
    </row>
    <row r="249" spans="3:11">
      <c r="C249" s="178"/>
      <c r="D249" s="171"/>
      <c r="E249" s="171"/>
      <c r="F249" s="171"/>
      <c r="G249" s="91"/>
      <c r="H249" s="174"/>
      <c r="I249" s="171"/>
      <c r="J249" s="171"/>
      <c r="K249" s="171"/>
    </row>
    <row r="250" spans="3:11">
      <c r="C250" s="178"/>
      <c r="D250" s="171"/>
      <c r="E250" s="171"/>
      <c r="F250" s="171"/>
      <c r="G250" s="91"/>
      <c r="H250" s="174"/>
      <c r="I250" s="171"/>
      <c r="J250" s="171"/>
      <c r="K250" s="171"/>
    </row>
    <row r="251" spans="3:11">
      <c r="C251" s="178"/>
      <c r="D251" s="171"/>
      <c r="E251" s="171"/>
      <c r="F251" s="171"/>
      <c r="G251" s="91"/>
      <c r="H251" s="174"/>
      <c r="I251" s="171"/>
      <c r="J251" s="171"/>
      <c r="K251" s="171"/>
    </row>
    <row r="252" spans="3:11">
      <c r="C252" s="178"/>
      <c r="D252" s="171"/>
      <c r="E252" s="171"/>
      <c r="F252" s="171"/>
      <c r="G252" s="91"/>
      <c r="H252" s="174"/>
      <c r="I252" s="171"/>
      <c r="J252" s="171"/>
      <c r="K252" s="171"/>
    </row>
    <row r="253" spans="3:11">
      <c r="C253" s="178"/>
      <c r="D253" s="171"/>
      <c r="E253" s="171"/>
      <c r="F253" s="171"/>
      <c r="G253" s="91"/>
      <c r="H253" s="174"/>
      <c r="I253" s="171"/>
      <c r="J253" s="171"/>
      <c r="K253" s="171"/>
    </row>
    <row r="254" spans="3:11">
      <c r="C254" s="178"/>
      <c r="D254" s="171"/>
      <c r="E254" s="171"/>
      <c r="F254" s="171"/>
      <c r="G254" s="91"/>
      <c r="H254" s="174"/>
      <c r="I254" s="171"/>
      <c r="J254" s="171"/>
      <c r="K254" s="171"/>
    </row>
    <row r="255" spans="3:11">
      <c r="C255" s="178"/>
      <c r="D255" s="171"/>
      <c r="E255" s="171"/>
      <c r="F255" s="171"/>
      <c r="G255" s="91"/>
      <c r="H255" s="174"/>
      <c r="I255" s="171"/>
      <c r="J255" s="171"/>
      <c r="K255" s="171"/>
    </row>
    <row r="256" spans="3:11">
      <c r="C256" s="178"/>
      <c r="D256" s="171"/>
      <c r="E256" s="171"/>
      <c r="F256" s="171"/>
      <c r="G256" s="91"/>
      <c r="H256" s="174"/>
      <c r="I256" s="171"/>
      <c r="J256" s="171"/>
      <c r="K256" s="171"/>
    </row>
    <row r="257" spans="3:11">
      <c r="C257" s="112"/>
      <c r="D257" s="112"/>
      <c r="E257" s="112"/>
      <c r="F257" s="179"/>
      <c r="G257" s="179"/>
      <c r="H257" s="179"/>
      <c r="I257" s="179"/>
      <c r="J257" s="112"/>
      <c r="K257" s="112"/>
    </row>
    <row r="258" spans="3:11">
      <c r="C258" s="112"/>
      <c r="D258" s="112"/>
      <c r="E258" s="112"/>
      <c r="F258" s="179"/>
      <c r="G258" s="179"/>
      <c r="H258" s="179"/>
      <c r="I258" s="179"/>
      <c r="J258" s="112"/>
      <c r="K258" s="112"/>
    </row>
    <row r="259" spans="3:11">
      <c r="C259" s="112"/>
      <c r="D259" s="112"/>
      <c r="E259" s="112"/>
      <c r="F259" s="179"/>
      <c r="G259" s="179"/>
      <c r="H259" s="179"/>
      <c r="I259" s="179"/>
      <c r="J259" s="112"/>
      <c r="K259" s="112"/>
    </row>
    <row r="260" spans="3:11">
      <c r="C260" s="178"/>
      <c r="D260" s="171"/>
      <c r="E260" s="171"/>
      <c r="F260" s="171"/>
      <c r="G260" s="91"/>
      <c r="H260" s="174"/>
      <c r="I260" s="171"/>
      <c r="J260" s="171"/>
      <c r="K260" s="171"/>
    </row>
    <row r="261" spans="3:11">
      <c r="C261" s="178"/>
      <c r="D261" s="171"/>
      <c r="E261" s="171"/>
      <c r="F261" s="171"/>
      <c r="G261" s="91"/>
      <c r="H261" s="174"/>
      <c r="I261" s="171"/>
      <c r="J261" s="171"/>
      <c r="K261" s="171"/>
    </row>
    <row r="263" spans="3:11">
      <c r="J263" s="171"/>
    </row>
    <row r="264" spans="3:11">
      <c r="J264" s="171"/>
    </row>
    <row r="265" spans="3:11">
      <c r="J265" s="171"/>
    </row>
    <row r="266" spans="3:11">
      <c r="J266" s="171"/>
    </row>
    <row r="270" spans="3:11">
      <c r="D270" s="91"/>
      <c r="E270" s="171"/>
      <c r="G270" s="91"/>
      <c r="H270" s="174"/>
      <c r="J270" s="91"/>
      <c r="K270" s="171"/>
    </row>
    <row r="271" spans="3:11">
      <c r="C271" s="175"/>
      <c r="D271" s="171"/>
      <c r="E271" s="171"/>
      <c r="F271" s="171"/>
      <c r="G271" s="176"/>
      <c r="H271" s="174"/>
      <c r="I271" s="171"/>
      <c r="J271" s="171"/>
      <c r="K271" s="171"/>
    </row>
    <row r="272" spans="3:11">
      <c r="C272" s="177"/>
    </row>
  </sheetData>
  <autoFilter ref="C1:K225" xr:uid="{C7A12CBA-DD0E-44D5-9093-1092CD0DF29B}"/>
  <mergeCells count="3">
    <mergeCell ref="O12:P12"/>
    <mergeCell ref="O13:P13"/>
    <mergeCell ref="R26:W26"/>
  </mergeCells>
  <pageMargins left="0.7" right="0.7" top="0.75" bottom="0.75" header="0.3" footer="0.3"/>
  <pageSetup paperSize="9" orientation="portrait" horizontalDpi="4294967292"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B72FA-ACF6-45A9-A898-63F8F5B33E02}">
  <sheetPr codeName="Hoja16"/>
  <dimension ref="D4:L62"/>
  <sheetViews>
    <sheetView showZeros="0" workbookViewId="0">
      <selection activeCell="L10" sqref="L10"/>
    </sheetView>
  </sheetViews>
  <sheetFormatPr defaultColWidth="11.453125" defaultRowHeight="14.5"/>
  <sheetData>
    <row r="4" spans="4:12" ht="105">
      <c r="D4" s="14" t="s">
        <v>450</v>
      </c>
      <c r="E4" s="14" t="s">
        <v>451</v>
      </c>
      <c r="F4" s="14" t="s">
        <v>452</v>
      </c>
      <c r="G4" s="14" t="s">
        <v>453</v>
      </c>
      <c r="H4" s="14"/>
      <c r="I4" s="15" t="s">
        <v>454</v>
      </c>
      <c r="J4" s="15" t="s">
        <v>455</v>
      </c>
      <c r="K4" s="15" t="s">
        <v>456</v>
      </c>
      <c r="L4" s="14" t="s">
        <v>457</v>
      </c>
    </row>
    <row r="5" spans="4:12" ht="16">
      <c r="D5" s="16"/>
      <c r="E5" s="16"/>
      <c r="F5" s="16"/>
      <c r="G5" s="16"/>
      <c r="H5" s="16"/>
      <c r="I5" s="16"/>
      <c r="J5" s="16"/>
      <c r="K5" s="16"/>
      <c r="L5" s="17"/>
    </row>
    <row r="6" spans="4:12" ht="16">
      <c r="D6" s="562" t="s">
        <v>458</v>
      </c>
      <c r="E6" s="562" t="s">
        <v>459</v>
      </c>
      <c r="F6" s="18">
        <v>60</v>
      </c>
      <c r="G6" s="19">
        <v>12.021002890545766</v>
      </c>
      <c r="H6" s="20">
        <f t="shared" ref="H6:H23" si="0">+G6/$G$24</f>
        <v>6.25E-2</v>
      </c>
      <c r="I6" s="19">
        <f t="shared" ref="I6:I23" si="1">+$I$24*H6</f>
        <v>46.006998031836972</v>
      </c>
      <c r="J6" s="20">
        <v>0</v>
      </c>
      <c r="K6" s="19">
        <v>4.6006998031836999E-2</v>
      </c>
      <c r="L6" s="21">
        <v>2.1</v>
      </c>
    </row>
    <row r="7" spans="4:12" ht="16">
      <c r="D7" s="563"/>
      <c r="E7" s="563"/>
      <c r="F7" s="18">
        <v>70</v>
      </c>
      <c r="G7" s="19">
        <v>16</v>
      </c>
      <c r="H7" s="20">
        <f t="shared" si="0"/>
        <v>8.3187734759341617E-2</v>
      </c>
      <c r="I7" s="19">
        <f t="shared" si="1"/>
        <v>61.235487189536094</v>
      </c>
      <c r="J7" s="20">
        <f t="shared" ref="J7:J24" si="2">+(I7/I6)-1</f>
        <v>0.33100375614946587</v>
      </c>
      <c r="K7" s="19"/>
      <c r="L7" s="21">
        <v>2.09</v>
      </c>
    </row>
    <row r="8" spans="4:12" ht="16">
      <c r="D8" s="563"/>
      <c r="E8" s="563"/>
      <c r="F8" s="18">
        <v>80</v>
      </c>
      <c r="G8" s="19">
        <v>23</v>
      </c>
      <c r="H8" s="20">
        <f t="shared" si="0"/>
        <v>0.11958236871655356</v>
      </c>
      <c r="I8" s="19">
        <f t="shared" si="1"/>
        <v>88.026012834958124</v>
      </c>
      <c r="J8" s="20">
        <f t="shared" si="2"/>
        <v>0.43749999999999978</v>
      </c>
      <c r="K8" s="19"/>
      <c r="L8" s="21">
        <v>2.08</v>
      </c>
    </row>
    <row r="9" spans="4:12" ht="16">
      <c r="D9" s="563"/>
      <c r="E9" s="563"/>
      <c r="F9" s="18">
        <v>90</v>
      </c>
      <c r="G9" s="19">
        <v>26</v>
      </c>
      <c r="H9" s="20">
        <f t="shared" si="0"/>
        <v>0.13518006898393012</v>
      </c>
      <c r="I9" s="19">
        <f t="shared" si="1"/>
        <v>99.507666682996145</v>
      </c>
      <c r="J9" s="20">
        <f t="shared" si="2"/>
        <v>0.13043478260869579</v>
      </c>
      <c r="K9" s="19"/>
      <c r="L9" s="21">
        <v>2.06</v>
      </c>
    </row>
    <row r="10" spans="4:12" ht="16">
      <c r="D10" s="563"/>
      <c r="E10" s="563"/>
      <c r="F10" s="18">
        <v>100</v>
      </c>
      <c r="G10" s="19">
        <v>33.391674695960454</v>
      </c>
      <c r="H10" s="20">
        <f t="shared" si="0"/>
        <v>0.17361111111111108</v>
      </c>
      <c r="I10" s="19">
        <f t="shared" si="1"/>
        <v>127.79721675510267</v>
      </c>
      <c r="J10" s="20">
        <f t="shared" si="2"/>
        <v>0.28429518061386361</v>
      </c>
      <c r="K10" s="19">
        <v>0.12779721675510267</v>
      </c>
      <c r="L10" s="21">
        <v>2.0499999999999998</v>
      </c>
    </row>
    <row r="11" spans="4:12" ht="16">
      <c r="D11" s="563"/>
      <c r="E11" s="563"/>
      <c r="F11" s="18">
        <v>110</v>
      </c>
      <c r="G11" s="19">
        <v>37</v>
      </c>
      <c r="H11" s="20">
        <f t="shared" si="0"/>
        <v>0.19237163663097748</v>
      </c>
      <c r="I11" s="19">
        <f t="shared" si="1"/>
        <v>141.6070641258022</v>
      </c>
      <c r="J11" s="20">
        <f t="shared" si="2"/>
        <v>0.10806062699443042</v>
      </c>
      <c r="K11" s="19"/>
      <c r="L11" s="21">
        <v>2</v>
      </c>
    </row>
    <row r="12" spans="4:12" ht="16">
      <c r="D12" s="563"/>
      <c r="E12" s="563"/>
      <c r="F12" s="18">
        <v>120</v>
      </c>
      <c r="G12" s="19">
        <v>47</v>
      </c>
      <c r="H12" s="20">
        <f t="shared" si="0"/>
        <v>0.24436397085556597</v>
      </c>
      <c r="I12" s="19">
        <f t="shared" si="1"/>
        <v>179.87924361926224</v>
      </c>
      <c r="J12" s="20">
        <f t="shared" si="2"/>
        <v>0.27027027027027017</v>
      </c>
      <c r="K12" s="19"/>
      <c r="L12" s="21">
        <v>1.95</v>
      </c>
    </row>
    <row r="13" spans="4:12" ht="16">
      <c r="D13" s="563"/>
      <c r="E13" s="563"/>
      <c r="F13" s="18">
        <v>130</v>
      </c>
      <c r="G13" s="19">
        <v>55</v>
      </c>
      <c r="H13" s="20">
        <f t="shared" si="0"/>
        <v>0.28595783823523679</v>
      </c>
      <c r="I13" s="19">
        <f t="shared" si="1"/>
        <v>210.4969872140303</v>
      </c>
      <c r="J13" s="20">
        <f t="shared" si="2"/>
        <v>0.17021276595744683</v>
      </c>
      <c r="K13" s="19"/>
      <c r="L13" s="21">
        <v>1.9</v>
      </c>
    </row>
    <row r="14" spans="4:12" ht="16">
      <c r="D14" s="563"/>
      <c r="E14" s="563"/>
      <c r="F14" s="18">
        <v>140</v>
      </c>
      <c r="G14" s="19">
        <v>65.447682404082485</v>
      </c>
      <c r="H14" s="20">
        <f t="shared" si="0"/>
        <v>0.34027777777777768</v>
      </c>
      <c r="I14" s="19">
        <f t="shared" si="1"/>
        <v>250.48254484000122</v>
      </c>
      <c r="J14" s="20">
        <f t="shared" si="2"/>
        <v>0.18995786189240893</v>
      </c>
      <c r="K14" s="19">
        <v>0.25048254484000121</v>
      </c>
      <c r="L14" s="21">
        <v>1.85</v>
      </c>
    </row>
    <row r="15" spans="4:12" ht="16">
      <c r="D15" s="563"/>
      <c r="E15" s="563"/>
      <c r="F15" s="18">
        <v>150</v>
      </c>
      <c r="G15" s="19">
        <v>72</v>
      </c>
      <c r="H15" s="20">
        <f t="shared" si="0"/>
        <v>0.37434480641703727</v>
      </c>
      <c r="I15" s="19">
        <f t="shared" si="1"/>
        <v>275.55969235291241</v>
      </c>
      <c r="J15" s="20">
        <f t="shared" si="2"/>
        <v>0.10011534947047718</v>
      </c>
      <c r="K15" s="19"/>
      <c r="L15" s="21">
        <v>1.8</v>
      </c>
    </row>
    <row r="16" spans="4:12" ht="16">
      <c r="D16" s="563"/>
      <c r="E16" s="563"/>
      <c r="F16" s="18">
        <v>160</v>
      </c>
      <c r="G16" s="19">
        <v>85</v>
      </c>
      <c r="H16" s="20">
        <f t="shared" si="0"/>
        <v>0.44193484090900231</v>
      </c>
      <c r="I16" s="19">
        <f t="shared" si="1"/>
        <v>325.31352569441049</v>
      </c>
      <c r="J16" s="20">
        <f t="shared" si="2"/>
        <v>0.18055555555555558</v>
      </c>
      <c r="K16" s="19"/>
      <c r="L16" s="21">
        <v>1.7</v>
      </c>
    </row>
    <row r="17" spans="4:12" ht="16">
      <c r="D17" s="563"/>
      <c r="E17" s="563"/>
      <c r="F17" s="18">
        <v>170</v>
      </c>
      <c r="G17" s="19">
        <v>95</v>
      </c>
      <c r="H17" s="20">
        <f t="shared" si="0"/>
        <v>0.4939271751335908</v>
      </c>
      <c r="I17" s="19">
        <f t="shared" si="1"/>
        <v>363.58570518787053</v>
      </c>
      <c r="J17" s="20">
        <f t="shared" si="2"/>
        <v>0.11764705882352944</v>
      </c>
      <c r="K17" s="19"/>
      <c r="L17" s="21">
        <v>1.6</v>
      </c>
    </row>
    <row r="18" spans="4:12" ht="16">
      <c r="D18" s="563"/>
      <c r="E18" s="563"/>
      <c r="F18" s="18">
        <v>180</v>
      </c>
      <c r="G18" s="19">
        <v>108</v>
      </c>
      <c r="H18" s="20">
        <f t="shared" si="0"/>
        <v>0.56151720962555585</v>
      </c>
      <c r="I18" s="19">
        <f t="shared" si="1"/>
        <v>413.33953852936855</v>
      </c>
      <c r="J18" s="20">
        <f t="shared" si="2"/>
        <v>0.13684210526315765</v>
      </c>
      <c r="K18" s="19">
        <v>0.4140629822865326</v>
      </c>
      <c r="L18" s="21">
        <v>1.5</v>
      </c>
    </row>
    <row r="19" spans="4:12" ht="16">
      <c r="D19" s="563"/>
      <c r="E19" s="563"/>
      <c r="F19" s="18">
        <v>190</v>
      </c>
      <c r="G19" s="19">
        <v>120</v>
      </c>
      <c r="H19" s="20">
        <f t="shared" si="0"/>
        <v>0.62390801069506208</v>
      </c>
      <c r="I19" s="19">
        <f t="shared" si="1"/>
        <v>459.26615392152064</v>
      </c>
      <c r="J19" s="20">
        <f t="shared" si="2"/>
        <v>0.11111111111111116</v>
      </c>
      <c r="K19" s="19"/>
      <c r="L19" s="21">
        <v>1.4</v>
      </c>
    </row>
    <row r="20" spans="4:12" ht="16">
      <c r="D20" s="563"/>
      <c r="E20" s="563"/>
      <c r="F20" s="18">
        <v>200</v>
      </c>
      <c r="G20" s="19">
        <v>131</v>
      </c>
      <c r="H20" s="20">
        <f t="shared" si="0"/>
        <v>0.68109957834210944</v>
      </c>
      <c r="I20" s="19">
        <f t="shared" si="1"/>
        <v>501.36555136432673</v>
      </c>
      <c r="J20" s="20">
        <f t="shared" si="2"/>
        <v>9.1666666666666785E-2</v>
      </c>
      <c r="K20" s="19"/>
      <c r="L20" s="21">
        <v>1.35</v>
      </c>
    </row>
    <row r="21" spans="4:12" ht="16">
      <c r="D21" s="563"/>
      <c r="E21" s="563"/>
      <c r="F21" s="18">
        <v>210</v>
      </c>
      <c r="G21" s="19">
        <v>142</v>
      </c>
      <c r="H21" s="20">
        <f t="shared" si="0"/>
        <v>0.73829114598915679</v>
      </c>
      <c r="I21" s="19">
        <f t="shared" si="1"/>
        <v>543.46494880713283</v>
      </c>
      <c r="J21" s="20">
        <f t="shared" si="2"/>
        <v>8.3969465648854991E-2</v>
      </c>
      <c r="K21" s="19"/>
      <c r="L21" s="21">
        <v>1.3</v>
      </c>
    </row>
    <row r="22" spans="4:12" ht="16">
      <c r="D22" s="563"/>
      <c r="E22" s="563"/>
      <c r="F22" s="18">
        <v>220</v>
      </c>
      <c r="G22" s="19">
        <v>161.61570552844856</v>
      </c>
      <c r="H22" s="20">
        <f t="shared" si="0"/>
        <v>0.84027777777777735</v>
      </c>
      <c r="I22" s="19">
        <f t="shared" si="1"/>
        <v>618.53852909469674</v>
      </c>
      <c r="J22" s="20">
        <f t="shared" si="2"/>
        <v>0.13813877132710228</v>
      </c>
      <c r="K22" s="19">
        <v>0.61853852909469675</v>
      </c>
      <c r="L22" s="21">
        <v>1.3</v>
      </c>
    </row>
    <row r="23" spans="4:12" ht="16">
      <c r="D23" s="563"/>
      <c r="E23" s="563"/>
      <c r="F23" s="18">
        <v>230</v>
      </c>
      <c r="G23" s="19">
        <v>179</v>
      </c>
      <c r="H23" s="20">
        <f t="shared" si="0"/>
        <v>0.93066278262013424</v>
      </c>
      <c r="I23" s="19">
        <f t="shared" si="1"/>
        <v>685.07201293293497</v>
      </c>
      <c r="J23" s="20">
        <f t="shared" si="2"/>
        <v>0.1075656255975157</v>
      </c>
      <c r="K23" s="19"/>
      <c r="L23" s="21">
        <v>1.3</v>
      </c>
    </row>
    <row r="24" spans="4:12" ht="16">
      <c r="D24" s="563"/>
      <c r="E24" s="564"/>
      <c r="F24" s="18">
        <v>240</v>
      </c>
      <c r="G24" s="19">
        <v>192.33604624873226</v>
      </c>
      <c r="H24" s="20">
        <v>1</v>
      </c>
      <c r="I24" s="19">
        <f>K24*1000</f>
        <v>736.11196850939155</v>
      </c>
      <c r="J24" s="20">
        <f t="shared" si="2"/>
        <v>7.450305166889537E-2</v>
      </c>
      <c r="K24" s="19">
        <v>0.73611196850939153</v>
      </c>
      <c r="L24" s="21">
        <v>1.3</v>
      </c>
    </row>
    <row r="25" spans="4:12" ht="16">
      <c r="D25" s="563"/>
      <c r="E25" s="562" t="s">
        <v>460</v>
      </c>
      <c r="F25" s="18">
        <v>60</v>
      </c>
      <c r="G25" s="19">
        <v>45.084795514685503</v>
      </c>
      <c r="H25" s="20">
        <f t="shared" ref="H25:H42" si="3">+G25/$G$43</f>
        <v>6.25E-2</v>
      </c>
      <c r="I25" s="19">
        <f t="shared" ref="I25:I42" si="4">+I$43*H6</f>
        <v>172.54933863639863</v>
      </c>
      <c r="J25" s="19">
        <v>0</v>
      </c>
      <c r="K25" s="19">
        <v>0.17254933863639862</v>
      </c>
      <c r="L25" s="21">
        <v>2</v>
      </c>
    </row>
    <row r="26" spans="4:12" ht="16">
      <c r="D26" s="563"/>
      <c r="E26" s="563"/>
      <c r="F26" s="18">
        <v>70</v>
      </c>
      <c r="G26" s="19">
        <v>60</v>
      </c>
      <c r="H26" s="20">
        <f t="shared" si="3"/>
        <v>8.3176599942180282E-2</v>
      </c>
      <c r="I26" s="19">
        <f t="shared" si="4"/>
        <v>229.66381784615274</v>
      </c>
      <c r="J26" s="20">
        <f t="shared" ref="J26:J43" si="5">+(I26/I25)-1</f>
        <v>0.33100375614946587</v>
      </c>
      <c r="K26" s="19"/>
      <c r="L26" s="21">
        <v>2</v>
      </c>
    </row>
    <row r="27" spans="4:12" ht="16">
      <c r="D27" s="563"/>
      <c r="E27" s="563"/>
      <c r="F27" s="18">
        <v>80</v>
      </c>
      <c r="G27" s="19">
        <v>85</v>
      </c>
      <c r="H27" s="20">
        <f t="shared" si="3"/>
        <v>0.1178335165847554</v>
      </c>
      <c r="I27" s="19">
        <f t="shared" si="4"/>
        <v>330.14173815384453</v>
      </c>
      <c r="J27" s="20">
        <f t="shared" si="5"/>
        <v>0.43749999999999978</v>
      </c>
      <c r="K27" s="19"/>
      <c r="L27" s="21">
        <v>2</v>
      </c>
    </row>
    <row r="28" spans="4:12" ht="16">
      <c r="D28" s="563"/>
      <c r="E28" s="563"/>
      <c r="F28" s="18">
        <v>90</v>
      </c>
      <c r="G28" s="19">
        <v>100</v>
      </c>
      <c r="H28" s="20">
        <f t="shared" si="3"/>
        <v>0.13862766657030046</v>
      </c>
      <c r="I28" s="19">
        <f t="shared" si="4"/>
        <v>373.20370399999814</v>
      </c>
      <c r="J28" s="20">
        <f t="shared" si="5"/>
        <v>0.13043478260869557</v>
      </c>
      <c r="K28" s="19"/>
      <c r="L28" s="21">
        <v>1.95</v>
      </c>
    </row>
    <row r="29" spans="4:12" ht="16">
      <c r="D29" s="563"/>
      <c r="E29" s="563"/>
      <c r="F29" s="18">
        <v>100</v>
      </c>
      <c r="G29" s="19">
        <v>125.23554309634861</v>
      </c>
      <c r="H29" s="20">
        <f t="shared" si="3"/>
        <v>0.1736111111111111</v>
      </c>
      <c r="I29" s="19">
        <f t="shared" si="4"/>
        <v>479.30371843444055</v>
      </c>
      <c r="J29" s="20">
        <f t="shared" si="5"/>
        <v>0.28429518061386383</v>
      </c>
      <c r="K29" s="19">
        <v>0.47930371843444058</v>
      </c>
      <c r="L29" s="21">
        <v>1.9</v>
      </c>
    </row>
    <row r="30" spans="4:12" ht="16">
      <c r="D30" s="563"/>
      <c r="E30" s="563"/>
      <c r="F30" s="18">
        <v>110</v>
      </c>
      <c r="G30" s="19">
        <f t="shared" ref="G30:G42" si="6">+$G$43*H11</f>
        <v>138.76857440532805</v>
      </c>
      <c r="H30" s="20">
        <f t="shared" si="3"/>
        <v>0.19237163663097748</v>
      </c>
      <c r="I30" s="19">
        <f t="shared" si="4"/>
        <v>531.09757876922811</v>
      </c>
      <c r="J30" s="20">
        <f t="shared" si="5"/>
        <v>0.10806062699443042</v>
      </c>
      <c r="K30" s="19"/>
      <c r="L30" s="21">
        <v>1.9</v>
      </c>
    </row>
    <row r="31" spans="4:12" ht="16">
      <c r="D31" s="563"/>
      <c r="E31" s="563"/>
      <c r="F31" s="18">
        <v>120</v>
      </c>
      <c r="G31" s="19">
        <f t="shared" si="6"/>
        <v>176.27359451487615</v>
      </c>
      <c r="H31" s="20">
        <f t="shared" si="3"/>
        <v>0.24436397085556597</v>
      </c>
      <c r="I31" s="19">
        <f t="shared" si="4"/>
        <v>674.63746492307359</v>
      </c>
      <c r="J31" s="20">
        <f t="shared" si="5"/>
        <v>0.2702702702702704</v>
      </c>
      <c r="K31" s="19"/>
      <c r="L31" s="21">
        <v>1.85</v>
      </c>
    </row>
    <row r="32" spans="4:12" ht="16">
      <c r="D32" s="563"/>
      <c r="E32" s="563"/>
      <c r="F32" s="18">
        <v>130</v>
      </c>
      <c r="G32" s="19">
        <f t="shared" si="6"/>
        <v>206.27761060251467</v>
      </c>
      <c r="H32" s="20">
        <f t="shared" si="3"/>
        <v>0.28595783823523679</v>
      </c>
      <c r="I32" s="19">
        <f t="shared" si="4"/>
        <v>789.46937384615001</v>
      </c>
      <c r="J32" s="20">
        <f t="shared" si="5"/>
        <v>0.17021276595744683</v>
      </c>
      <c r="K32" s="19"/>
      <c r="L32" s="21">
        <v>1.85</v>
      </c>
    </row>
    <row r="33" spans="4:12" ht="16">
      <c r="D33" s="563"/>
      <c r="E33" s="563"/>
      <c r="F33" s="18">
        <v>140</v>
      </c>
      <c r="G33" s="19">
        <f t="shared" si="6"/>
        <v>245.46166446884322</v>
      </c>
      <c r="H33" s="20">
        <f t="shared" si="3"/>
        <v>0.34027777777777768</v>
      </c>
      <c r="I33" s="19">
        <f t="shared" si="4"/>
        <v>939.4352881315034</v>
      </c>
      <c r="J33" s="20">
        <f t="shared" si="5"/>
        <v>0.18995786189240871</v>
      </c>
      <c r="K33" s="19">
        <v>0.93943528813150323</v>
      </c>
      <c r="L33" s="21">
        <v>1.8</v>
      </c>
    </row>
    <row r="34" spans="4:12" ht="16">
      <c r="D34" s="563"/>
      <c r="E34" s="563"/>
      <c r="F34" s="18">
        <v>150</v>
      </c>
      <c r="G34" s="19">
        <f t="shared" si="6"/>
        <v>270.03614478874647</v>
      </c>
      <c r="H34" s="20">
        <f t="shared" si="3"/>
        <v>0.37434480641703727</v>
      </c>
      <c r="I34" s="19">
        <f t="shared" si="4"/>
        <v>1033.4871803076874</v>
      </c>
      <c r="J34" s="20">
        <f t="shared" si="5"/>
        <v>0.10011534947047718</v>
      </c>
      <c r="K34" s="19"/>
      <c r="L34" s="21">
        <v>1.7</v>
      </c>
    </row>
    <row r="35" spans="4:12" ht="16">
      <c r="D35" s="563"/>
      <c r="E35" s="563"/>
      <c r="F35" s="18">
        <v>160</v>
      </c>
      <c r="G35" s="19">
        <f t="shared" si="6"/>
        <v>318.79267093115902</v>
      </c>
      <c r="H35" s="20">
        <f t="shared" si="3"/>
        <v>0.44193484090900231</v>
      </c>
      <c r="I35" s="19">
        <f t="shared" si="4"/>
        <v>1220.0890323076862</v>
      </c>
      <c r="J35" s="20">
        <f t="shared" si="5"/>
        <v>0.18055555555555536</v>
      </c>
      <c r="K35" s="19"/>
      <c r="L35" s="21">
        <v>1.6</v>
      </c>
    </row>
    <row r="36" spans="4:12" ht="16">
      <c r="D36" s="563"/>
      <c r="E36" s="563"/>
      <c r="F36" s="18">
        <v>170</v>
      </c>
      <c r="G36" s="19">
        <f t="shared" si="6"/>
        <v>356.29769104070715</v>
      </c>
      <c r="H36" s="20">
        <f t="shared" si="3"/>
        <v>0.49392717513359086</v>
      </c>
      <c r="I36" s="19">
        <f t="shared" si="4"/>
        <v>1363.6289184615316</v>
      </c>
      <c r="J36" s="20">
        <f t="shared" si="5"/>
        <v>0.11764705882352944</v>
      </c>
      <c r="K36" s="19"/>
      <c r="L36" s="21">
        <v>1.5</v>
      </c>
    </row>
    <row r="37" spans="4:12" ht="16">
      <c r="D37" s="563"/>
      <c r="E37" s="563"/>
      <c r="F37" s="18">
        <v>180</v>
      </c>
      <c r="G37" s="19">
        <f t="shared" si="6"/>
        <v>405.05421718311965</v>
      </c>
      <c r="H37" s="20">
        <f t="shared" si="3"/>
        <v>0.56151720962555585</v>
      </c>
      <c r="I37" s="19">
        <f t="shared" si="4"/>
        <v>1550.2307704615307</v>
      </c>
      <c r="J37" s="20">
        <f t="shared" si="5"/>
        <v>0.13684210526315788</v>
      </c>
      <c r="K37" s="19">
        <v>1.5529440477275873</v>
      </c>
      <c r="L37" s="21">
        <v>1.45</v>
      </c>
    </row>
    <row r="38" spans="4:12" ht="16">
      <c r="D38" s="563"/>
      <c r="E38" s="563"/>
      <c r="F38" s="18">
        <v>190</v>
      </c>
      <c r="G38" s="19">
        <f t="shared" si="6"/>
        <v>450.06024131457741</v>
      </c>
      <c r="H38" s="20">
        <f t="shared" si="3"/>
        <v>0.62390801069506208</v>
      </c>
      <c r="I38" s="19">
        <f t="shared" si="4"/>
        <v>1722.4786338461454</v>
      </c>
      <c r="J38" s="20">
        <f t="shared" si="5"/>
        <v>0.11111111111111116</v>
      </c>
      <c r="K38" s="19"/>
      <c r="L38" s="21">
        <v>1.45</v>
      </c>
    </row>
    <row r="39" spans="4:12" ht="16">
      <c r="D39" s="563"/>
      <c r="E39" s="563"/>
      <c r="F39" s="18">
        <v>200</v>
      </c>
      <c r="G39" s="19">
        <f t="shared" si="6"/>
        <v>491.31576343508038</v>
      </c>
      <c r="H39" s="20">
        <f t="shared" si="3"/>
        <v>0.68109957834210944</v>
      </c>
      <c r="I39" s="19">
        <f t="shared" si="4"/>
        <v>1880.3725086153754</v>
      </c>
      <c r="J39" s="20">
        <f t="shared" si="5"/>
        <v>9.1666666666666785E-2</v>
      </c>
      <c r="K39" s="19"/>
      <c r="L39" s="21">
        <v>1.2</v>
      </c>
    </row>
    <row r="40" spans="4:12" ht="16">
      <c r="D40" s="563"/>
      <c r="E40" s="563"/>
      <c r="F40" s="18">
        <v>210</v>
      </c>
      <c r="G40" s="19">
        <f t="shared" si="6"/>
        <v>532.57128555558324</v>
      </c>
      <c r="H40" s="20">
        <f t="shared" si="3"/>
        <v>0.73829114598915668</v>
      </c>
      <c r="I40" s="19">
        <f t="shared" si="4"/>
        <v>2038.2663833846054</v>
      </c>
      <c r="J40" s="20">
        <f t="shared" si="5"/>
        <v>8.3969465648854991E-2</v>
      </c>
      <c r="K40" s="19"/>
      <c r="L40" s="21">
        <v>1.1000000000000001</v>
      </c>
    </row>
    <row r="41" spans="4:12" ht="16">
      <c r="D41" s="563"/>
      <c r="E41" s="563"/>
      <c r="F41" s="18">
        <v>220</v>
      </c>
      <c r="G41" s="19">
        <f t="shared" si="6"/>
        <v>606.14002858632705</v>
      </c>
      <c r="H41" s="20">
        <f t="shared" si="3"/>
        <v>0.84027777777777746</v>
      </c>
      <c r="I41" s="19">
        <f t="shared" si="4"/>
        <v>2319.8299972226914</v>
      </c>
      <c r="J41" s="20">
        <f t="shared" si="5"/>
        <v>0.13813877132710228</v>
      </c>
      <c r="K41" s="19">
        <v>2.3198299972226919</v>
      </c>
      <c r="L41" s="21">
        <v>1</v>
      </c>
    </row>
    <row r="42" spans="4:12" ht="16">
      <c r="D42" s="563"/>
      <c r="E42" s="563"/>
      <c r="F42" s="18">
        <v>230</v>
      </c>
      <c r="G42" s="19">
        <f t="shared" si="6"/>
        <v>671.33985996091133</v>
      </c>
      <c r="H42" s="20">
        <f t="shared" si="3"/>
        <v>0.93066278262013424</v>
      </c>
      <c r="I42" s="19">
        <f t="shared" si="4"/>
        <v>2569.3639621538337</v>
      </c>
      <c r="J42" s="20">
        <f t="shared" si="5"/>
        <v>0.10756562559751592</v>
      </c>
      <c r="K42" s="19"/>
      <c r="L42" s="21">
        <v>0.95</v>
      </c>
    </row>
    <row r="43" spans="4:12" ht="16">
      <c r="D43" s="563"/>
      <c r="E43" s="564"/>
      <c r="F43" s="18">
        <v>240</v>
      </c>
      <c r="G43" s="19">
        <v>721.35672823496805</v>
      </c>
      <c r="H43" s="20">
        <v>1</v>
      </c>
      <c r="I43" s="19">
        <f>K43*1000</f>
        <v>2760.7894181823781</v>
      </c>
      <c r="J43" s="20">
        <f t="shared" si="5"/>
        <v>7.4503051668895148E-2</v>
      </c>
      <c r="K43" s="19">
        <v>2.760789418182378</v>
      </c>
      <c r="L43" s="21">
        <v>0.86</v>
      </c>
    </row>
    <row r="44" spans="4:12" ht="16">
      <c r="D44" s="563"/>
      <c r="E44" s="562" t="s">
        <v>461</v>
      </c>
      <c r="F44" s="18">
        <v>60</v>
      </c>
      <c r="G44" s="19">
        <f t="shared" ref="G44:G61" si="7">+$G$62*H6</f>
        <v>93.290555555555613</v>
      </c>
      <c r="H44" s="20">
        <f t="shared" ref="H44:H61" si="8">G44/$G$62</f>
        <v>6.25E-2</v>
      </c>
      <c r="I44" s="19">
        <f t="shared" ref="I44:I61" si="9">+$I$62*H6</f>
        <v>357.04328872668316</v>
      </c>
      <c r="J44" s="19"/>
      <c r="K44" s="19">
        <v>0.35704328872668317</v>
      </c>
      <c r="L44" s="21">
        <v>1.9</v>
      </c>
    </row>
    <row r="45" spans="4:12" ht="16">
      <c r="D45" s="563"/>
      <c r="E45" s="563"/>
      <c r="F45" s="18">
        <v>70</v>
      </c>
      <c r="G45" s="19">
        <f t="shared" si="7"/>
        <v>124.17007985771494</v>
      </c>
      <c r="H45" s="20">
        <f t="shared" si="8"/>
        <v>8.3187734759341617E-2</v>
      </c>
      <c r="I45" s="19">
        <f t="shared" si="9"/>
        <v>475.22595840317354</v>
      </c>
      <c r="J45" s="19"/>
      <c r="K45" s="19"/>
      <c r="L45" s="21">
        <v>1.9</v>
      </c>
    </row>
    <row r="46" spans="4:12" ht="16">
      <c r="D46" s="563"/>
      <c r="E46" s="563"/>
      <c r="F46" s="18">
        <v>80</v>
      </c>
      <c r="G46" s="19">
        <f t="shared" si="7"/>
        <v>178.4944897954652</v>
      </c>
      <c r="H46" s="20">
        <f t="shared" si="8"/>
        <v>0.11958236871655356</v>
      </c>
      <c r="I46" s="19">
        <f t="shared" si="9"/>
        <v>683.1373152045619</v>
      </c>
      <c r="J46" s="19"/>
      <c r="K46" s="19"/>
      <c r="L46" s="21">
        <v>1.9</v>
      </c>
    </row>
    <row r="47" spans="4:12" ht="16">
      <c r="D47" s="563"/>
      <c r="E47" s="563"/>
      <c r="F47" s="18">
        <v>90</v>
      </c>
      <c r="G47" s="19">
        <f t="shared" si="7"/>
        <v>201.77637976878677</v>
      </c>
      <c r="H47" s="20">
        <f t="shared" si="8"/>
        <v>0.13518006898393012</v>
      </c>
      <c r="I47" s="19">
        <f t="shared" si="9"/>
        <v>772.24218240515688</v>
      </c>
      <c r="J47" s="19"/>
      <c r="K47" s="19"/>
      <c r="L47" s="21">
        <v>1.9</v>
      </c>
    </row>
    <row r="48" spans="4:12" ht="16">
      <c r="D48" s="563"/>
      <c r="E48" s="563"/>
      <c r="F48" s="18">
        <v>100</v>
      </c>
      <c r="G48" s="19">
        <f t="shared" si="7"/>
        <v>259.14043209876553</v>
      </c>
      <c r="H48" s="20">
        <f t="shared" si="8"/>
        <v>0.17361111111111108</v>
      </c>
      <c r="I48" s="19">
        <f t="shared" si="9"/>
        <v>991.78691312967521</v>
      </c>
      <c r="J48" s="19"/>
      <c r="K48" s="19">
        <v>0.99178691312967526</v>
      </c>
      <c r="L48" s="21">
        <v>1.8</v>
      </c>
    </row>
    <row r="49" spans="4:12" ht="16">
      <c r="D49" s="563"/>
      <c r="E49" s="563"/>
      <c r="F49" s="18">
        <v>110</v>
      </c>
      <c r="G49" s="19">
        <f t="shared" si="7"/>
        <v>287.14330967096578</v>
      </c>
      <c r="H49" s="20">
        <f t="shared" si="8"/>
        <v>0.19237163663097748</v>
      </c>
      <c r="I49" s="19">
        <f t="shared" si="9"/>
        <v>1098.9600288073386</v>
      </c>
      <c r="J49" s="19"/>
      <c r="K49" s="19"/>
      <c r="L49" s="21">
        <v>1.8</v>
      </c>
    </row>
    <row r="50" spans="4:12" ht="16">
      <c r="D50" s="563"/>
      <c r="E50" s="563"/>
      <c r="F50" s="18">
        <v>120</v>
      </c>
      <c r="G50" s="19">
        <f t="shared" si="7"/>
        <v>364.74960958203758</v>
      </c>
      <c r="H50" s="20">
        <f t="shared" si="8"/>
        <v>0.24436397085556597</v>
      </c>
      <c r="I50" s="19">
        <f t="shared" si="9"/>
        <v>1395.976252809322</v>
      </c>
      <c r="J50" s="19"/>
      <c r="K50" s="19"/>
      <c r="L50" s="21">
        <v>1.7</v>
      </c>
    </row>
    <row r="51" spans="4:12" ht="16">
      <c r="D51" s="563"/>
      <c r="E51" s="563"/>
      <c r="F51" s="18">
        <v>130</v>
      </c>
      <c r="G51" s="19">
        <f t="shared" si="7"/>
        <v>426.83464951089508</v>
      </c>
      <c r="H51" s="20">
        <f t="shared" si="8"/>
        <v>0.28595783823523679</v>
      </c>
      <c r="I51" s="19">
        <f t="shared" si="9"/>
        <v>1633.589232010909</v>
      </c>
      <c r="J51" s="19"/>
      <c r="K51" s="19"/>
      <c r="L51" s="21">
        <v>1.7</v>
      </c>
    </row>
    <row r="52" spans="4:12" ht="16">
      <c r="D52" s="563"/>
      <c r="E52" s="563"/>
      <c r="F52" s="18">
        <v>140</v>
      </c>
      <c r="G52" s="19">
        <f t="shared" si="7"/>
        <v>507.9152469135804</v>
      </c>
      <c r="H52" s="20">
        <f t="shared" si="8"/>
        <v>0.34027777777777768</v>
      </c>
      <c r="I52" s="19">
        <f t="shared" si="9"/>
        <v>1943.9023497341634</v>
      </c>
      <c r="J52" s="19"/>
      <c r="K52" s="19">
        <v>1.9439023497341632</v>
      </c>
      <c r="L52" s="21">
        <v>1.65</v>
      </c>
    </row>
    <row r="53" spans="4:12" ht="16">
      <c r="D53" s="563"/>
      <c r="E53" s="563"/>
      <c r="F53" s="18">
        <v>150</v>
      </c>
      <c r="G53" s="19">
        <f t="shared" si="7"/>
        <v>558.76535935971719</v>
      </c>
      <c r="H53" s="20">
        <f t="shared" si="8"/>
        <v>0.37434480641703727</v>
      </c>
      <c r="I53" s="19">
        <f t="shared" si="9"/>
        <v>2138.5168128142809</v>
      </c>
      <c r="J53" s="19"/>
      <c r="K53" s="19"/>
      <c r="L53" s="21">
        <v>1.55</v>
      </c>
    </row>
    <row r="54" spans="4:12" ht="16">
      <c r="D54" s="563"/>
      <c r="E54" s="563"/>
      <c r="F54" s="18">
        <v>160</v>
      </c>
      <c r="G54" s="19">
        <f t="shared" si="7"/>
        <v>659.65354924411054</v>
      </c>
      <c r="H54" s="20">
        <f t="shared" si="8"/>
        <v>0.44193484090900226</v>
      </c>
      <c r="I54" s="19">
        <f t="shared" si="9"/>
        <v>2524.637904016859</v>
      </c>
      <c r="J54" s="19"/>
      <c r="K54" s="19"/>
      <c r="L54" s="21">
        <v>1.4</v>
      </c>
    </row>
    <row r="55" spans="4:12" ht="16">
      <c r="D55" s="563"/>
      <c r="E55" s="563"/>
      <c r="F55" s="18">
        <v>170</v>
      </c>
      <c r="G55" s="19">
        <f t="shared" si="7"/>
        <v>737.25984915518245</v>
      </c>
      <c r="H55" s="20">
        <f t="shared" si="8"/>
        <v>0.49392717513359086</v>
      </c>
      <c r="I55" s="19">
        <f t="shared" si="9"/>
        <v>2821.6541280188426</v>
      </c>
      <c r="J55" s="19"/>
      <c r="K55" s="19"/>
      <c r="L55" s="21">
        <v>1.3</v>
      </c>
    </row>
    <row r="56" spans="4:12" ht="16">
      <c r="D56" s="563"/>
      <c r="E56" s="563"/>
      <c r="F56" s="18">
        <v>180</v>
      </c>
      <c r="G56" s="19">
        <f t="shared" si="7"/>
        <v>838.14803903957579</v>
      </c>
      <c r="H56" s="20">
        <f t="shared" si="8"/>
        <v>0.56151720962555585</v>
      </c>
      <c r="I56" s="19">
        <f t="shared" si="9"/>
        <v>3207.7752192214211</v>
      </c>
      <c r="J56" s="19"/>
      <c r="K56" s="19">
        <v>3.2133895985401479</v>
      </c>
      <c r="L56" s="21">
        <v>1.2</v>
      </c>
    </row>
    <row r="57" spans="4:12" ht="16">
      <c r="D57" s="563"/>
      <c r="E57" s="563"/>
      <c r="F57" s="18">
        <v>190</v>
      </c>
      <c r="G57" s="19">
        <f t="shared" si="7"/>
        <v>931.27559893286195</v>
      </c>
      <c r="H57" s="20">
        <f t="shared" si="8"/>
        <v>0.62390801069506208</v>
      </c>
      <c r="I57" s="19">
        <f t="shared" si="9"/>
        <v>3564.1946880238011</v>
      </c>
      <c r="J57" s="19"/>
      <c r="K57" s="19"/>
      <c r="L57" s="21">
        <v>1.2</v>
      </c>
    </row>
    <row r="58" spans="4:12" ht="16">
      <c r="D58" s="563"/>
      <c r="E58" s="563"/>
      <c r="F58" s="18">
        <v>200</v>
      </c>
      <c r="G58" s="19">
        <f t="shared" si="7"/>
        <v>1016.642528835041</v>
      </c>
      <c r="H58" s="20">
        <f t="shared" si="8"/>
        <v>0.68109957834210944</v>
      </c>
      <c r="I58" s="19">
        <f t="shared" si="9"/>
        <v>3890.9125344259828</v>
      </c>
      <c r="J58" s="19"/>
      <c r="K58" s="19"/>
      <c r="L58" s="21">
        <v>1.1000000000000001</v>
      </c>
    </row>
    <row r="59" spans="4:12" ht="16">
      <c r="D59" s="563"/>
      <c r="E59" s="563"/>
      <c r="F59" s="18">
        <v>210</v>
      </c>
      <c r="G59" s="19">
        <f t="shared" si="7"/>
        <v>1102.00945873722</v>
      </c>
      <c r="H59" s="20">
        <f t="shared" si="8"/>
        <v>0.73829114598915679</v>
      </c>
      <c r="I59" s="19">
        <f t="shared" si="9"/>
        <v>4217.6303808281646</v>
      </c>
      <c r="J59" s="19"/>
      <c r="K59" s="19"/>
      <c r="L59" s="21">
        <v>1.1000000000000001</v>
      </c>
    </row>
    <row r="60" spans="4:12" ht="16">
      <c r="D60" s="563"/>
      <c r="E60" s="563"/>
      <c r="F60" s="18">
        <v>220</v>
      </c>
      <c r="G60" s="19">
        <f t="shared" si="7"/>
        <v>1254.2396913580249</v>
      </c>
      <c r="H60" s="20">
        <f t="shared" si="8"/>
        <v>0.84027777777777735</v>
      </c>
      <c r="I60" s="19">
        <f t="shared" si="9"/>
        <v>4800.2486595476266</v>
      </c>
      <c r="J60" s="19"/>
      <c r="K60" s="19">
        <v>4.800248659547627</v>
      </c>
      <c r="L60" s="21">
        <v>1</v>
      </c>
    </row>
    <row r="61" spans="4:12" ht="16">
      <c r="D61" s="563"/>
      <c r="E61" s="563"/>
      <c r="F61" s="18">
        <v>230</v>
      </c>
      <c r="G61" s="19">
        <f t="shared" si="7"/>
        <v>1389.1527684081857</v>
      </c>
      <c r="H61" s="20">
        <f t="shared" si="8"/>
        <v>0.93066278262013424</v>
      </c>
      <c r="I61" s="19">
        <f t="shared" si="9"/>
        <v>5316.5904096355034</v>
      </c>
      <c r="J61" s="19"/>
      <c r="K61" s="19"/>
      <c r="L61" s="21">
        <v>0.9</v>
      </c>
    </row>
    <row r="62" spans="4:12" ht="16">
      <c r="D62" s="564"/>
      <c r="E62" s="564"/>
      <c r="F62" s="18">
        <v>240</v>
      </c>
      <c r="G62" s="19">
        <v>1492.6488888888898</v>
      </c>
      <c r="H62" s="19">
        <v>1</v>
      </c>
      <c r="I62" s="19">
        <f>K62*1000</f>
        <v>5712.6926196269305</v>
      </c>
      <c r="J62" s="19"/>
      <c r="K62" s="19">
        <v>5.7126926196269308</v>
      </c>
      <c r="L62" s="21">
        <v>0.86</v>
      </c>
    </row>
  </sheetData>
  <mergeCells count="4">
    <mergeCell ref="D6:D62"/>
    <mergeCell ref="E6:E24"/>
    <mergeCell ref="E25:E43"/>
    <mergeCell ref="E44:E6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99B0F-AA92-461A-9F01-904CA32EE08E}">
  <sheetPr codeName="Hoja8"/>
  <dimension ref="A2:AA129"/>
  <sheetViews>
    <sheetView workbookViewId="0">
      <selection activeCell="AB14" sqref="AB14"/>
    </sheetView>
  </sheetViews>
  <sheetFormatPr defaultColWidth="11.453125" defaultRowHeight="14.5"/>
  <cols>
    <col min="27" max="27" width="13.81640625" bestFit="1" customWidth="1"/>
  </cols>
  <sheetData>
    <row r="2" spans="1:22" ht="15" thickBot="1"/>
    <row r="3" spans="1:22" ht="16" thickBot="1">
      <c r="B3" s="585" t="s">
        <v>196</v>
      </c>
      <c r="C3" s="578"/>
      <c r="D3" s="577" t="s">
        <v>462</v>
      </c>
      <c r="E3" s="577"/>
      <c r="F3" s="577"/>
      <c r="G3" s="577"/>
      <c r="H3" s="577"/>
      <c r="I3" s="577"/>
      <c r="J3" s="577"/>
      <c r="K3" s="578"/>
      <c r="M3" s="585" t="s">
        <v>196</v>
      </c>
      <c r="N3" s="578"/>
      <c r="O3" s="577" t="s">
        <v>462</v>
      </c>
      <c r="P3" s="577"/>
      <c r="Q3" s="577"/>
      <c r="R3" s="577"/>
      <c r="S3" s="577"/>
      <c r="T3" s="577"/>
      <c r="U3" s="577"/>
      <c r="V3" s="578"/>
    </row>
    <row r="4" spans="1:22">
      <c r="B4" s="565">
        <v>1</v>
      </c>
      <c r="C4" s="569" t="s">
        <v>463</v>
      </c>
      <c r="D4" s="579" t="s">
        <v>464</v>
      </c>
      <c r="E4" s="580"/>
      <c r="F4" s="580"/>
      <c r="G4" s="580"/>
      <c r="H4" s="580"/>
      <c r="I4" s="580"/>
      <c r="J4" s="580"/>
      <c r="K4" s="581"/>
      <c r="M4" s="565">
        <v>1</v>
      </c>
      <c r="N4" s="569" t="s">
        <v>463</v>
      </c>
      <c r="O4" s="579" t="s">
        <v>464</v>
      </c>
      <c r="P4" s="580"/>
      <c r="Q4" s="580"/>
      <c r="R4" s="580"/>
      <c r="S4" s="580"/>
      <c r="T4" s="580"/>
      <c r="U4" s="580"/>
      <c r="V4" s="581"/>
    </row>
    <row r="5" spans="1:22" ht="15" thickBot="1">
      <c r="B5" s="566"/>
      <c r="C5" s="569"/>
      <c r="D5" s="582"/>
      <c r="E5" s="583"/>
      <c r="F5" s="583"/>
      <c r="G5" s="583"/>
      <c r="H5" s="583"/>
      <c r="I5" s="583"/>
      <c r="J5" s="583"/>
      <c r="K5" s="584"/>
      <c r="M5" s="566"/>
      <c r="N5" s="569"/>
      <c r="O5" s="582"/>
      <c r="P5" s="583"/>
      <c r="Q5" s="583"/>
      <c r="R5" s="583"/>
      <c r="S5" s="583"/>
      <c r="T5" s="583"/>
      <c r="U5" s="583"/>
      <c r="V5" s="584"/>
    </row>
    <row r="6" spans="1:22" ht="15" thickBot="1">
      <c r="B6" s="567"/>
      <c r="C6" s="569"/>
      <c r="D6" s="22">
        <v>0</v>
      </c>
      <c r="E6" s="22">
        <v>500</v>
      </c>
      <c r="F6" s="22">
        <v>1000</v>
      </c>
      <c r="G6" s="22">
        <v>1500</v>
      </c>
      <c r="H6" s="22">
        <v>2000</v>
      </c>
      <c r="I6" s="22">
        <v>2500</v>
      </c>
      <c r="J6" s="22">
        <v>3000</v>
      </c>
      <c r="K6" s="23">
        <v>3500</v>
      </c>
      <c r="M6" s="567"/>
      <c r="N6" s="570"/>
      <c r="O6" s="22">
        <v>0</v>
      </c>
      <c r="P6" s="22">
        <v>500</v>
      </c>
      <c r="Q6" s="22">
        <v>1000</v>
      </c>
      <c r="R6" s="22">
        <v>1500</v>
      </c>
      <c r="S6" s="22">
        <v>2000</v>
      </c>
      <c r="T6" s="22">
        <v>2500</v>
      </c>
      <c r="U6" s="22">
        <v>3000</v>
      </c>
      <c r="V6" s="23">
        <v>3500</v>
      </c>
    </row>
    <row r="7" spans="1:22">
      <c r="A7" t="str">
        <f>CONCATENATE(C7,B7,)</f>
        <v>1005</v>
      </c>
      <c r="B7" s="565">
        <v>5</v>
      </c>
      <c r="C7" s="24">
        <v>100</v>
      </c>
      <c r="D7" s="25">
        <v>1.7000000476837158</v>
      </c>
      <c r="E7" s="25">
        <v>1.7200000286102295</v>
      </c>
      <c r="F7" s="25">
        <v>1.75</v>
      </c>
      <c r="G7" s="25">
        <v>1.7899999618530273</v>
      </c>
      <c r="H7" s="25">
        <v>1.8200000524520874</v>
      </c>
      <c r="I7" s="25">
        <v>1.8500000238418579</v>
      </c>
      <c r="J7" s="25">
        <v>1.8799999952316284</v>
      </c>
      <c r="K7" s="26">
        <v>1.9199999570846558</v>
      </c>
      <c r="M7" s="565">
        <v>10</v>
      </c>
      <c r="N7" s="24">
        <v>100</v>
      </c>
      <c r="O7" s="25">
        <v>1.5199999809265137</v>
      </c>
      <c r="P7" s="25">
        <v>1.559999942779541</v>
      </c>
      <c r="Q7" s="25">
        <v>1.6000000238418579</v>
      </c>
      <c r="R7" s="25">
        <v>1.6399999856948853</v>
      </c>
      <c r="S7" s="25">
        <v>1.690000057220459</v>
      </c>
      <c r="T7" s="25">
        <v>1.7300000190734863</v>
      </c>
      <c r="U7" s="25">
        <v>1.7699999809265137</v>
      </c>
      <c r="V7" s="26">
        <v>1.7999999523162842</v>
      </c>
    </row>
    <row r="8" spans="1:22">
      <c r="B8" s="566"/>
      <c r="C8" s="27">
        <v>110</v>
      </c>
      <c r="D8" s="28">
        <v>1.5700000524520874</v>
      </c>
      <c r="E8" s="28">
        <v>1.6000000238418579</v>
      </c>
      <c r="F8" s="28">
        <v>1.6399999856948853</v>
      </c>
      <c r="G8" s="28">
        <v>1.6799999475479126</v>
      </c>
      <c r="H8" s="28">
        <v>1.7200000286102295</v>
      </c>
      <c r="I8" s="28">
        <v>1.75</v>
      </c>
      <c r="J8" s="28">
        <v>1.7799999713897705</v>
      </c>
      <c r="K8" s="29">
        <v>1.8200000524520874</v>
      </c>
      <c r="M8" s="566"/>
      <c r="N8" s="27">
        <v>110</v>
      </c>
      <c r="O8" s="28">
        <v>1.3999999761581421</v>
      </c>
      <c r="P8" s="28">
        <v>1.440000057220459</v>
      </c>
      <c r="Q8" s="28">
        <v>1.4800000190734863</v>
      </c>
      <c r="R8" s="28">
        <v>1.5199999809265137</v>
      </c>
      <c r="S8" s="28">
        <v>1.559999942779541</v>
      </c>
      <c r="T8" s="28">
        <v>1.6000000238418579</v>
      </c>
      <c r="U8" s="28">
        <v>1.6399999856948853</v>
      </c>
      <c r="V8" s="29">
        <v>1.6799999475479126</v>
      </c>
    </row>
    <row r="9" spans="1:22">
      <c r="B9" s="566"/>
      <c r="C9" s="30">
        <v>120</v>
      </c>
      <c r="D9" s="31">
        <v>1.4500000476837158</v>
      </c>
      <c r="E9" s="31">
        <v>1.4900000095367432</v>
      </c>
      <c r="F9" s="31">
        <v>1.5299999713897705</v>
      </c>
      <c r="G9" s="31">
        <v>1.5700000524520874</v>
      </c>
      <c r="H9" s="31">
        <v>1.6100000143051147</v>
      </c>
      <c r="I9" s="31">
        <v>1.6499999761581421</v>
      </c>
      <c r="J9" s="31">
        <v>1.690000057220459</v>
      </c>
      <c r="K9" s="32">
        <v>1.7300000190734863</v>
      </c>
      <c r="M9" s="566"/>
      <c r="N9" s="30">
        <v>120</v>
      </c>
      <c r="O9" s="31">
        <v>1.2999999523162842</v>
      </c>
      <c r="P9" s="31">
        <v>1.3400000333786011</v>
      </c>
      <c r="Q9" s="31">
        <v>1.3799999952316284</v>
      </c>
      <c r="R9" s="31">
        <v>1.4199999570846558</v>
      </c>
      <c r="S9" s="31">
        <v>1.4500000476837158</v>
      </c>
      <c r="T9" s="31">
        <v>1.4900000095367432</v>
      </c>
      <c r="U9" s="31">
        <v>1.5299999713897705</v>
      </c>
      <c r="V9" s="32">
        <v>1.559999942779541</v>
      </c>
    </row>
    <row r="10" spans="1:22">
      <c r="B10" s="566"/>
      <c r="C10" s="27">
        <v>130</v>
      </c>
      <c r="D10" s="28">
        <v>1.3500000238418579</v>
      </c>
      <c r="E10" s="28">
        <v>1.3899999856948853</v>
      </c>
      <c r="F10" s="28">
        <v>1.4299999475479126</v>
      </c>
      <c r="G10" s="28">
        <v>1.4600000381469727</v>
      </c>
      <c r="H10" s="28">
        <v>1.5</v>
      </c>
      <c r="I10" s="28">
        <v>1.5399999618530273</v>
      </c>
      <c r="J10" s="28">
        <v>1.5800000429153442</v>
      </c>
      <c r="K10" s="29">
        <v>1.6200000047683716</v>
      </c>
      <c r="M10" s="566"/>
      <c r="N10" s="27">
        <v>130</v>
      </c>
      <c r="O10" s="28">
        <v>1.2000000476837158</v>
      </c>
      <c r="P10" s="28">
        <v>1.2400000095367432</v>
      </c>
      <c r="Q10" s="28">
        <v>1.2799999713897705</v>
      </c>
      <c r="R10" s="28">
        <v>1.3200000524520874</v>
      </c>
      <c r="S10" s="28">
        <v>1.3500000238418579</v>
      </c>
      <c r="T10" s="28">
        <v>1.3899999856948853</v>
      </c>
      <c r="U10" s="28">
        <v>1.4299999475479126</v>
      </c>
      <c r="V10" s="29">
        <v>1.4600000381469727</v>
      </c>
    </row>
    <row r="11" spans="1:22">
      <c r="B11" s="566"/>
      <c r="C11" s="30">
        <v>140</v>
      </c>
      <c r="D11" s="31">
        <v>1.2599999904632568</v>
      </c>
      <c r="E11" s="31">
        <v>1.2999999523162842</v>
      </c>
      <c r="F11" s="31">
        <v>1.3400000333786011</v>
      </c>
      <c r="G11" s="31">
        <v>1.3700000047683716</v>
      </c>
      <c r="H11" s="31">
        <v>1.4099999666213989</v>
      </c>
      <c r="I11" s="31">
        <v>1.4500000476837158</v>
      </c>
      <c r="J11" s="31">
        <v>1.4900000095367432</v>
      </c>
      <c r="K11" s="32">
        <v>1.5299999713897705</v>
      </c>
      <c r="M11" s="566"/>
      <c r="N11" s="30">
        <v>140</v>
      </c>
      <c r="O11" s="31">
        <v>1.1100000143051147</v>
      </c>
      <c r="P11" s="31">
        <v>1.1399999856948853</v>
      </c>
      <c r="Q11" s="31">
        <v>1.1799999475479126</v>
      </c>
      <c r="R11" s="31">
        <v>1.2200000286102295</v>
      </c>
      <c r="S11" s="31">
        <v>1.2599999904632568</v>
      </c>
      <c r="T11" s="31">
        <v>1.2999999523162842</v>
      </c>
      <c r="U11" s="31">
        <v>1.3400000333786011</v>
      </c>
      <c r="V11" s="32">
        <v>1.3799999952316284</v>
      </c>
    </row>
    <row r="12" spans="1:22">
      <c r="B12" s="566"/>
      <c r="C12" s="27">
        <v>150</v>
      </c>
      <c r="D12" s="28">
        <v>1.190000057220459</v>
      </c>
      <c r="E12" s="28">
        <v>1.2200000286102295</v>
      </c>
      <c r="F12" s="28">
        <v>1.2599999904632568</v>
      </c>
      <c r="G12" s="28">
        <v>1.2899999618530273</v>
      </c>
      <c r="H12" s="28">
        <v>1.3200000524520874</v>
      </c>
      <c r="I12" s="28">
        <v>1.3600000143051147</v>
      </c>
      <c r="J12" s="28">
        <v>1.3999999761581421</v>
      </c>
      <c r="K12" s="29">
        <v>1.440000057220459</v>
      </c>
      <c r="M12" s="566"/>
      <c r="N12" s="27">
        <v>150</v>
      </c>
      <c r="O12" s="28">
        <v>1.0299999713897705</v>
      </c>
      <c r="P12" s="28">
        <v>1.059999942779541</v>
      </c>
      <c r="Q12" s="28">
        <v>1.1000000238418579</v>
      </c>
      <c r="R12" s="28">
        <v>1.1399999856948853</v>
      </c>
      <c r="S12" s="28">
        <v>1.1699999570846558</v>
      </c>
      <c r="T12" s="28">
        <v>1.2100000381469727</v>
      </c>
      <c r="U12" s="28">
        <v>1.25</v>
      </c>
      <c r="V12" s="29">
        <v>1.2899999618530273</v>
      </c>
    </row>
    <row r="13" spans="1:22">
      <c r="B13" s="566"/>
      <c r="C13" s="30">
        <v>160</v>
      </c>
      <c r="D13" s="31">
        <v>1.1200000047683716</v>
      </c>
      <c r="E13" s="31">
        <v>1.1499999761581421</v>
      </c>
      <c r="F13" s="31">
        <v>1.1799999475479126</v>
      </c>
      <c r="G13" s="31">
        <v>1.2200000286102295</v>
      </c>
      <c r="H13" s="31">
        <v>1.25</v>
      </c>
      <c r="I13" s="31">
        <v>1.2799999713897705</v>
      </c>
      <c r="J13" s="31">
        <v>1.309999942779541</v>
      </c>
      <c r="K13" s="32">
        <v>1.3500000238418579</v>
      </c>
      <c r="M13" s="566"/>
      <c r="N13" s="30">
        <v>160</v>
      </c>
      <c r="O13" s="31">
        <v>0.95999997854232788</v>
      </c>
      <c r="P13" s="31">
        <v>0.99000000953674316</v>
      </c>
      <c r="Q13" s="31">
        <v>1.0299999713897705</v>
      </c>
      <c r="R13" s="31">
        <v>1.059999942779541</v>
      </c>
      <c r="S13" s="31">
        <v>1.0900000333786011</v>
      </c>
      <c r="T13" s="31">
        <v>1.1299999952316284</v>
      </c>
      <c r="U13" s="31">
        <v>1.1699999570846558</v>
      </c>
      <c r="V13" s="32">
        <v>1.2100000381469727</v>
      </c>
    </row>
    <row r="14" spans="1:22">
      <c r="B14" s="566"/>
      <c r="C14" s="27">
        <v>170</v>
      </c>
      <c r="D14" s="28">
        <v>1.059999942779541</v>
      </c>
      <c r="E14" s="28">
        <v>1.0900000333786011</v>
      </c>
      <c r="F14" s="28">
        <v>1.1200000047683716</v>
      </c>
      <c r="G14" s="28">
        <v>1.1499999761581421</v>
      </c>
      <c r="H14" s="28">
        <v>1.1799999475479126</v>
      </c>
      <c r="I14" s="28">
        <v>1.2100000381469727</v>
      </c>
      <c r="J14" s="28">
        <v>1.25</v>
      </c>
      <c r="K14" s="29">
        <v>1.2899999618530273</v>
      </c>
      <c r="M14" s="566"/>
      <c r="N14" s="27">
        <v>170</v>
      </c>
      <c r="O14" s="28">
        <v>0.86000001430511475</v>
      </c>
      <c r="P14" s="28">
        <v>0.89999997615814209</v>
      </c>
      <c r="Q14" s="28">
        <v>0.95999997854232788</v>
      </c>
      <c r="R14" s="28">
        <v>1</v>
      </c>
      <c r="S14" s="28">
        <v>1.0299999713897705</v>
      </c>
      <c r="T14" s="28">
        <v>1.059999942779541</v>
      </c>
      <c r="U14" s="28">
        <v>1.0900000333786011</v>
      </c>
      <c r="V14" s="29">
        <v>1.1299999952316284</v>
      </c>
    </row>
    <row r="15" spans="1:22">
      <c r="B15" s="566"/>
      <c r="C15" s="30">
        <v>180</v>
      </c>
      <c r="D15" s="31">
        <v>1.0099999904632568</v>
      </c>
      <c r="E15" s="31">
        <v>1.0299999713897705</v>
      </c>
      <c r="F15" s="31">
        <v>1.059999942779541</v>
      </c>
      <c r="G15" s="31">
        <v>1.0900000333786011</v>
      </c>
      <c r="H15" s="31">
        <v>1.1200000047683716</v>
      </c>
      <c r="I15" s="31">
        <v>1.1499999761581421</v>
      </c>
      <c r="J15" s="31">
        <v>1.190000057220459</v>
      </c>
      <c r="K15" s="32">
        <v>1.2200000286102295</v>
      </c>
      <c r="M15" s="566"/>
      <c r="N15" s="30">
        <v>180</v>
      </c>
      <c r="O15" s="31" t="s">
        <v>114</v>
      </c>
      <c r="P15" s="31">
        <v>0.80000001192092896</v>
      </c>
      <c r="Q15" s="31">
        <v>0.85000002384185791</v>
      </c>
      <c r="R15" s="31">
        <v>0.92000001668930054</v>
      </c>
      <c r="S15" s="31">
        <v>0.97000002861022949</v>
      </c>
      <c r="T15" s="31">
        <v>1</v>
      </c>
      <c r="U15" s="31">
        <v>1.0299999713897705</v>
      </c>
      <c r="V15" s="32">
        <v>1.059999942779541</v>
      </c>
    </row>
    <row r="16" spans="1:22">
      <c r="B16" s="566"/>
      <c r="C16" s="27">
        <v>190</v>
      </c>
      <c r="D16" s="28">
        <v>0.93000000715255737</v>
      </c>
      <c r="E16" s="28">
        <v>0.97000002861022949</v>
      </c>
      <c r="F16" s="28">
        <v>1.0099999904632568</v>
      </c>
      <c r="G16" s="28">
        <v>1.0399999618530273</v>
      </c>
      <c r="H16" s="28">
        <v>1.0700000524520874</v>
      </c>
      <c r="I16" s="28">
        <v>1.1000000238418579</v>
      </c>
      <c r="J16" s="28">
        <v>1.1299999952316284</v>
      </c>
      <c r="K16" s="29">
        <v>1.1599999666213989</v>
      </c>
      <c r="M16" s="566"/>
      <c r="N16" s="27">
        <v>190</v>
      </c>
      <c r="O16" s="28" t="s">
        <v>114</v>
      </c>
      <c r="P16" s="28" t="s">
        <v>114</v>
      </c>
      <c r="Q16" s="28" t="s">
        <v>114</v>
      </c>
      <c r="R16" s="28">
        <v>0.81000000238418579</v>
      </c>
      <c r="S16" s="28">
        <v>0.86000001430511475</v>
      </c>
      <c r="T16" s="28">
        <v>0.92000001668930054</v>
      </c>
      <c r="U16" s="28">
        <v>0.97000002861022949</v>
      </c>
      <c r="V16" s="29">
        <v>1.0099999904632568</v>
      </c>
    </row>
    <row r="17" spans="2:27" ht="15" thickBot="1">
      <c r="B17" s="566"/>
      <c r="C17" s="33">
        <v>200</v>
      </c>
      <c r="D17" s="34">
        <v>0.8399999737739563</v>
      </c>
      <c r="E17" s="34">
        <v>0.87999999523162842</v>
      </c>
      <c r="F17" s="34">
        <v>0.93000000715255737</v>
      </c>
      <c r="G17" s="35">
        <v>0.99000000953674316</v>
      </c>
      <c r="H17" s="34">
        <v>1.0199999809265137</v>
      </c>
      <c r="I17" s="34">
        <v>1.0499999523162842</v>
      </c>
      <c r="J17" s="34">
        <v>1.0800000429153442</v>
      </c>
      <c r="K17" s="36">
        <v>1.1100000143051147</v>
      </c>
      <c r="M17" s="566"/>
      <c r="N17" s="33">
        <v>200</v>
      </c>
      <c r="O17" s="34" t="s">
        <v>114</v>
      </c>
      <c r="P17" s="34" t="s">
        <v>114</v>
      </c>
      <c r="Q17" s="34" t="s">
        <v>114</v>
      </c>
      <c r="R17" s="35" t="s">
        <v>114</v>
      </c>
      <c r="S17" s="34" t="s">
        <v>114</v>
      </c>
      <c r="T17" s="34">
        <v>0.82999998331069946</v>
      </c>
      <c r="U17" s="34">
        <v>0.87999999523162842</v>
      </c>
      <c r="V17" s="36">
        <v>0.95999997854232788</v>
      </c>
    </row>
    <row r="18" spans="2:27" ht="15" thickBot="1"/>
    <row r="19" spans="2:27" ht="16" thickBot="1">
      <c r="B19" s="585" t="s">
        <v>196</v>
      </c>
      <c r="C19" s="578"/>
      <c r="D19" s="577" t="s">
        <v>462</v>
      </c>
      <c r="E19" s="577"/>
      <c r="F19" s="577"/>
      <c r="G19" s="577"/>
      <c r="H19" s="577"/>
      <c r="I19" s="577"/>
      <c r="J19" s="577"/>
      <c r="K19" s="578"/>
      <c r="M19" s="585" t="s">
        <v>196</v>
      </c>
      <c r="N19" s="578"/>
      <c r="O19" s="577" t="s">
        <v>462</v>
      </c>
      <c r="P19" s="577"/>
      <c r="Q19" s="577"/>
      <c r="R19" s="577"/>
      <c r="S19" s="577"/>
      <c r="T19" s="577"/>
      <c r="U19" s="577"/>
      <c r="V19" s="578"/>
    </row>
    <row r="20" spans="2:27">
      <c r="B20" s="565">
        <v>2</v>
      </c>
      <c r="C20" s="569" t="s">
        <v>463</v>
      </c>
      <c r="D20" s="579" t="s">
        <v>464</v>
      </c>
      <c r="E20" s="580"/>
      <c r="F20" s="580"/>
      <c r="G20" s="580"/>
      <c r="H20" s="580"/>
      <c r="I20" s="580"/>
      <c r="J20" s="580"/>
      <c r="K20" s="581"/>
      <c r="M20" s="565">
        <v>2</v>
      </c>
      <c r="N20" s="569" t="s">
        <v>463</v>
      </c>
      <c r="O20" s="579" t="s">
        <v>464</v>
      </c>
      <c r="P20" s="580"/>
      <c r="Q20" s="580"/>
      <c r="R20" s="580"/>
      <c r="S20" s="580"/>
      <c r="T20" s="580"/>
      <c r="U20" s="580"/>
      <c r="V20" s="581"/>
    </row>
    <row r="21" spans="2:27" ht="15" thickBot="1">
      <c r="B21" s="566"/>
      <c r="C21" s="569"/>
      <c r="D21" s="582"/>
      <c r="E21" s="583"/>
      <c r="F21" s="583"/>
      <c r="G21" s="583"/>
      <c r="H21" s="583"/>
      <c r="I21" s="583"/>
      <c r="J21" s="583"/>
      <c r="K21" s="584"/>
      <c r="M21" s="566"/>
      <c r="N21" s="569"/>
      <c r="O21" s="582"/>
      <c r="P21" s="583"/>
      <c r="Q21" s="583"/>
      <c r="R21" s="583"/>
      <c r="S21" s="583"/>
      <c r="T21" s="583"/>
      <c r="U21" s="583"/>
      <c r="V21" s="584"/>
      <c r="AA21">
        <f>INDEX(D7:K17,MATCH('Datos de Proyecto'!C16,'Zona A'!C7:C17,1),MATCH('Datos de Proyecto'!C18,'Zona A'!D6:K6,1))</f>
        <v>1.4500000476837158</v>
      </c>
    </row>
    <row r="22" spans="2:27" ht="15" thickBot="1">
      <c r="B22" s="567"/>
      <c r="C22" s="569"/>
      <c r="D22" s="22">
        <v>0</v>
      </c>
      <c r="E22" s="22">
        <v>500</v>
      </c>
      <c r="F22" s="22">
        <v>1000</v>
      </c>
      <c r="G22" s="22">
        <v>1500</v>
      </c>
      <c r="H22" s="22">
        <v>2000</v>
      </c>
      <c r="I22" s="22">
        <v>2500</v>
      </c>
      <c r="J22" s="22">
        <v>3000</v>
      </c>
      <c r="K22" s="23">
        <v>3500</v>
      </c>
      <c r="M22" s="567"/>
      <c r="N22" s="570"/>
      <c r="O22" s="22">
        <v>0</v>
      </c>
      <c r="P22" s="22">
        <v>500</v>
      </c>
      <c r="Q22" s="22">
        <v>1000</v>
      </c>
      <c r="R22" s="22">
        <v>1500</v>
      </c>
      <c r="S22" s="22">
        <v>2000</v>
      </c>
      <c r="T22" s="22">
        <v>2500</v>
      </c>
      <c r="U22" s="22">
        <v>3000</v>
      </c>
      <c r="V22" s="23">
        <v>3500</v>
      </c>
    </row>
    <row r="23" spans="2:27">
      <c r="B23" s="565">
        <v>5</v>
      </c>
      <c r="C23" s="24">
        <v>100</v>
      </c>
      <c r="D23" s="25">
        <v>1.8300000429153442</v>
      </c>
      <c r="E23" s="25">
        <v>1.86</v>
      </c>
      <c r="F23" s="25">
        <v>1.89</v>
      </c>
      <c r="G23" s="25">
        <v>1.92</v>
      </c>
      <c r="H23" s="25">
        <v>1.96</v>
      </c>
      <c r="I23" s="25">
        <v>1.99</v>
      </c>
      <c r="J23" s="25">
        <v>2.02</v>
      </c>
      <c r="K23" s="26">
        <v>2.059999942779541</v>
      </c>
      <c r="M23" s="565">
        <v>10</v>
      </c>
      <c r="N23" s="24">
        <v>100</v>
      </c>
      <c r="O23" s="25">
        <v>1.7000000476837158</v>
      </c>
      <c r="P23" s="25">
        <v>1.73</v>
      </c>
      <c r="Q23" s="25">
        <v>1.76</v>
      </c>
      <c r="R23" s="25">
        <v>1.8</v>
      </c>
      <c r="S23" s="25">
        <v>1.83</v>
      </c>
      <c r="T23" s="25">
        <v>1.87</v>
      </c>
      <c r="U23" s="25">
        <v>1.9</v>
      </c>
      <c r="V23" s="26">
        <v>1.940000057220459</v>
      </c>
      <c r="AA23" t="e" cm="1">
        <f t="array" ref="AA23">_xlfn.IFS(AND('Datos de Proyecto'!D34&lt;=5,'Datos de Proyecto'!#REF!=1,'Datos de Proyecto'!C19="A"),INDEX(D7:K17,MATCH('Datos de Proyecto'!C16,'Zona A'!C7:C17,1),MATCH('Datos de Proyecto'!C18,'Zona A'!D6:K6,1)),AND('Datos de Proyecto'!D34&gt;=5,'Datos de Proyecto'!D34&lt;=10,'Datos de Proyecto'!#REF!=1,'Datos de Proyecto'!C19="A"),INDEX(O7:V17,MATCH('Datos de Proyecto'!C16,'Zona A'!N7:N17,1),MATCH('Datos de Proyecto'!C18,'Zona A'!O6:V6,1)))</f>
        <v>#REF!</v>
      </c>
    </row>
    <row r="24" spans="2:27">
      <c r="B24" s="566"/>
      <c r="C24" s="27">
        <v>110</v>
      </c>
      <c r="D24" s="28">
        <v>1.7300000190734863</v>
      </c>
      <c r="E24" s="28">
        <v>1.76</v>
      </c>
      <c r="F24" s="28">
        <v>1.79</v>
      </c>
      <c r="G24" s="28">
        <v>1.82</v>
      </c>
      <c r="H24" s="28">
        <v>1.86</v>
      </c>
      <c r="I24" s="28">
        <v>1.89</v>
      </c>
      <c r="J24" s="28">
        <v>1.92</v>
      </c>
      <c r="K24" s="29">
        <v>1.9600000381469727</v>
      </c>
      <c r="M24" s="566"/>
      <c r="N24" s="27">
        <v>110</v>
      </c>
      <c r="O24" s="28">
        <v>1.5700000524520874</v>
      </c>
      <c r="P24" s="28">
        <v>1.6</v>
      </c>
      <c r="Q24" s="28">
        <v>1.64</v>
      </c>
      <c r="R24" s="28">
        <v>1.68</v>
      </c>
      <c r="S24" s="28">
        <v>1.71</v>
      </c>
      <c r="T24" s="28">
        <v>1.75</v>
      </c>
      <c r="U24" s="28">
        <v>1.79</v>
      </c>
      <c r="V24" s="29">
        <v>1.8300000429153442</v>
      </c>
    </row>
    <row r="25" spans="2:27">
      <c r="B25" s="566"/>
      <c r="C25" s="30">
        <v>120</v>
      </c>
      <c r="D25" s="31">
        <v>1.6200000047683716</v>
      </c>
      <c r="E25" s="31">
        <v>1.65</v>
      </c>
      <c r="F25" s="31">
        <v>1.68</v>
      </c>
      <c r="G25" s="31">
        <v>1.72</v>
      </c>
      <c r="H25" s="31">
        <v>1.75</v>
      </c>
      <c r="I25" s="31">
        <v>1.79</v>
      </c>
      <c r="J25" s="31">
        <v>1.82</v>
      </c>
      <c r="K25" s="32">
        <v>1.8600000143051147</v>
      </c>
      <c r="M25" s="566"/>
      <c r="N25" s="30">
        <v>120</v>
      </c>
      <c r="O25" s="31">
        <v>1.4500000476837158</v>
      </c>
      <c r="P25" s="31">
        <v>1.49</v>
      </c>
      <c r="Q25" s="31">
        <v>1.53</v>
      </c>
      <c r="R25" s="31">
        <v>1.57</v>
      </c>
      <c r="S25" s="31">
        <v>1.61</v>
      </c>
      <c r="T25" s="31">
        <v>1.65</v>
      </c>
      <c r="U25" s="31">
        <v>1.69</v>
      </c>
      <c r="V25" s="32">
        <v>1.7300000190734863</v>
      </c>
    </row>
    <row r="26" spans="2:27">
      <c r="B26" s="566"/>
      <c r="C26" s="27">
        <v>130</v>
      </c>
      <c r="D26" s="28">
        <v>1.5099999904632568</v>
      </c>
      <c r="E26" s="28">
        <v>1.54</v>
      </c>
      <c r="F26" s="28">
        <v>1.58</v>
      </c>
      <c r="G26" s="28">
        <v>1.62</v>
      </c>
      <c r="H26" s="28">
        <v>1.66</v>
      </c>
      <c r="I26" s="28">
        <v>1.7</v>
      </c>
      <c r="J26" s="28">
        <v>1.74</v>
      </c>
      <c r="K26" s="29">
        <v>1.7799999713897705</v>
      </c>
      <c r="M26" s="566"/>
      <c r="N26" s="27">
        <v>130</v>
      </c>
      <c r="O26" s="28">
        <v>1.3600000143051147</v>
      </c>
      <c r="P26" s="28">
        <v>1.4</v>
      </c>
      <c r="Q26" s="28">
        <v>1.44</v>
      </c>
      <c r="R26" s="28">
        <v>1.48</v>
      </c>
      <c r="S26" s="28">
        <v>1.51</v>
      </c>
      <c r="T26" s="28">
        <v>1.55</v>
      </c>
      <c r="U26" s="28">
        <v>1.59</v>
      </c>
      <c r="V26" s="29">
        <v>1.6399999856948853</v>
      </c>
    </row>
    <row r="27" spans="2:27">
      <c r="B27" s="566"/>
      <c r="C27" s="30">
        <v>140</v>
      </c>
      <c r="D27" s="31">
        <v>1.4099999666213989</v>
      </c>
      <c r="E27" s="31">
        <v>1.45</v>
      </c>
      <c r="F27" s="31">
        <v>1.49</v>
      </c>
      <c r="G27" s="31">
        <v>1.53</v>
      </c>
      <c r="H27" s="31">
        <v>1.57</v>
      </c>
      <c r="I27" s="31">
        <v>1.61</v>
      </c>
      <c r="J27" s="31">
        <v>1.65</v>
      </c>
      <c r="K27" s="32">
        <v>1.7000000476837158</v>
      </c>
      <c r="M27" s="566"/>
      <c r="N27" s="30">
        <v>140</v>
      </c>
      <c r="O27" s="31">
        <v>1.2699999809265137</v>
      </c>
      <c r="P27" s="31">
        <v>1.3</v>
      </c>
      <c r="Q27" s="31">
        <v>1.34</v>
      </c>
      <c r="R27" s="31">
        <v>1.38</v>
      </c>
      <c r="S27" s="31">
        <v>1.42</v>
      </c>
      <c r="T27" s="31">
        <v>1.46</v>
      </c>
      <c r="U27" s="31">
        <v>1.5</v>
      </c>
      <c r="V27" s="32">
        <v>1.5399999618530273</v>
      </c>
    </row>
    <row r="28" spans="2:27">
      <c r="B28" s="566"/>
      <c r="C28" s="27">
        <v>150</v>
      </c>
      <c r="D28" s="28">
        <v>1.3300000429153442</v>
      </c>
      <c r="E28" s="28">
        <v>1.37</v>
      </c>
      <c r="F28" s="28">
        <v>1.41</v>
      </c>
      <c r="G28" s="28">
        <v>1.45</v>
      </c>
      <c r="H28" s="28">
        <v>1.49</v>
      </c>
      <c r="I28" s="28">
        <v>1.53</v>
      </c>
      <c r="J28" s="28">
        <v>1.57</v>
      </c>
      <c r="K28" s="29">
        <v>1.6100000143051147</v>
      </c>
      <c r="M28" s="566"/>
      <c r="N28" s="27">
        <v>150</v>
      </c>
      <c r="O28" s="28">
        <v>1.1799999475479126</v>
      </c>
      <c r="P28" s="28">
        <v>1.21</v>
      </c>
      <c r="Q28" s="28">
        <v>1.25</v>
      </c>
      <c r="R28" s="28">
        <v>1.29</v>
      </c>
      <c r="S28" s="28">
        <v>1.33</v>
      </c>
      <c r="T28" s="28">
        <v>1.37</v>
      </c>
      <c r="U28" s="28">
        <v>1.41</v>
      </c>
      <c r="V28" s="29">
        <v>1.4500000476837158</v>
      </c>
    </row>
    <row r="29" spans="2:27">
      <c r="B29" s="566"/>
      <c r="C29" s="30">
        <v>160</v>
      </c>
      <c r="D29" s="31">
        <v>1.2599999904632568</v>
      </c>
      <c r="E29" s="31">
        <v>1.29</v>
      </c>
      <c r="F29" s="31">
        <v>1.33</v>
      </c>
      <c r="G29" s="31">
        <v>1.37</v>
      </c>
      <c r="H29" s="31">
        <v>1.4</v>
      </c>
      <c r="I29" s="31">
        <v>1.44</v>
      </c>
      <c r="J29" s="31">
        <v>1.48</v>
      </c>
      <c r="K29" s="32">
        <v>1.5199999809265137</v>
      </c>
      <c r="M29" s="566"/>
      <c r="N29" s="30">
        <v>160</v>
      </c>
      <c r="O29" s="31">
        <v>1.1100000143051147</v>
      </c>
      <c r="P29" s="31">
        <v>1.1399999999999999</v>
      </c>
      <c r="Q29" s="31">
        <v>1.18</v>
      </c>
      <c r="R29" s="31">
        <v>1.22</v>
      </c>
      <c r="S29" s="31">
        <v>1.25</v>
      </c>
      <c r="T29" s="31">
        <v>1.29</v>
      </c>
      <c r="U29" s="31">
        <v>1.33</v>
      </c>
      <c r="V29" s="32">
        <v>1.3700000047683716</v>
      </c>
    </row>
    <row r="30" spans="2:27">
      <c r="B30" s="566"/>
      <c r="C30" s="27">
        <v>170</v>
      </c>
      <c r="D30" s="28">
        <v>1.190000057220459</v>
      </c>
      <c r="E30" s="28">
        <v>1.22</v>
      </c>
      <c r="F30" s="28">
        <v>1.26</v>
      </c>
      <c r="G30" s="28">
        <v>1.29</v>
      </c>
      <c r="H30" s="28">
        <v>1.33</v>
      </c>
      <c r="I30" s="28">
        <v>1.36</v>
      </c>
      <c r="J30" s="28">
        <v>1.4</v>
      </c>
      <c r="K30" s="29">
        <v>1.440000057220459</v>
      </c>
      <c r="M30" s="566"/>
      <c r="N30" s="27">
        <v>170</v>
      </c>
      <c r="O30" s="28">
        <v>1.0399999618530273</v>
      </c>
      <c r="P30" s="28">
        <v>1.07</v>
      </c>
      <c r="Q30" s="28">
        <v>1.1100000000000001</v>
      </c>
      <c r="R30" s="28">
        <v>1.1399999999999999</v>
      </c>
      <c r="S30" s="28">
        <v>1.18</v>
      </c>
      <c r="T30" s="28">
        <v>1.21</v>
      </c>
      <c r="U30" s="28">
        <v>1.25</v>
      </c>
      <c r="V30" s="29">
        <v>1.2899999618530273</v>
      </c>
    </row>
    <row r="31" spans="2:27">
      <c r="B31" s="566"/>
      <c r="C31" s="30">
        <v>180</v>
      </c>
      <c r="D31" s="31">
        <v>1.1299999952316284</v>
      </c>
      <c r="E31" s="31">
        <v>1.1599999999999999</v>
      </c>
      <c r="F31" s="31">
        <v>1.19</v>
      </c>
      <c r="G31" s="31">
        <v>1.23</v>
      </c>
      <c r="H31" s="31">
        <v>1.26</v>
      </c>
      <c r="I31" s="31">
        <v>1.3</v>
      </c>
      <c r="J31" s="31">
        <v>1.33</v>
      </c>
      <c r="K31" s="32">
        <v>1.3700000047683716</v>
      </c>
      <c r="M31" s="566"/>
      <c r="N31" s="30">
        <v>180</v>
      </c>
      <c r="O31" s="31">
        <v>0.98000001907348633</v>
      </c>
      <c r="P31" s="31">
        <v>1.01</v>
      </c>
      <c r="Q31" s="31">
        <v>1.04</v>
      </c>
      <c r="R31" s="31">
        <v>1.08</v>
      </c>
      <c r="S31" s="31">
        <v>1.1100000000000001</v>
      </c>
      <c r="T31" s="31">
        <v>1.1499999999999999</v>
      </c>
      <c r="U31" s="31">
        <v>1.18</v>
      </c>
      <c r="V31" s="32">
        <v>1.2200000286102295</v>
      </c>
    </row>
    <row r="32" spans="2:27">
      <c r="B32" s="566"/>
      <c r="C32" s="27">
        <v>190</v>
      </c>
      <c r="D32" s="28">
        <v>1.0700000524520874</v>
      </c>
      <c r="E32" s="28">
        <v>1.1000000000000001</v>
      </c>
      <c r="F32" s="28">
        <v>1.1299999999999999</v>
      </c>
      <c r="G32" s="28">
        <v>1.1599999999999999</v>
      </c>
      <c r="H32" s="28">
        <v>1.2</v>
      </c>
      <c r="I32" s="28">
        <v>1.23</v>
      </c>
      <c r="J32" s="28">
        <v>1.26</v>
      </c>
      <c r="K32" s="29">
        <v>1.2999999523162842</v>
      </c>
      <c r="M32" s="566"/>
      <c r="N32" s="27">
        <v>190</v>
      </c>
      <c r="O32" s="28">
        <v>0.88999998569488525</v>
      </c>
      <c r="P32" s="28">
        <v>0.92</v>
      </c>
      <c r="Q32" s="28">
        <v>0.96</v>
      </c>
      <c r="R32" s="28">
        <v>1</v>
      </c>
      <c r="S32" s="28">
        <v>1.03</v>
      </c>
      <c r="T32" s="28">
        <v>1.07</v>
      </c>
      <c r="U32" s="28">
        <v>1.1100000000000001</v>
      </c>
      <c r="V32" s="29">
        <v>1.1499999761581421</v>
      </c>
    </row>
    <row r="33" spans="2:22" ht="15" thickBot="1">
      <c r="B33" s="566"/>
      <c r="C33" s="33">
        <v>200</v>
      </c>
      <c r="D33" s="34">
        <v>1.0299999713897705</v>
      </c>
      <c r="E33" s="34">
        <v>1.06</v>
      </c>
      <c r="F33" s="34">
        <v>1.0900000000000001</v>
      </c>
      <c r="G33" s="35">
        <v>1.1200000000000001</v>
      </c>
      <c r="H33" s="34">
        <v>1.1499999999999999</v>
      </c>
      <c r="I33" s="34">
        <v>1.18</v>
      </c>
      <c r="J33" s="34">
        <v>1.21</v>
      </c>
      <c r="K33" s="36">
        <v>1.25</v>
      </c>
      <c r="M33" s="566"/>
      <c r="N33" s="33">
        <v>200</v>
      </c>
      <c r="O33" s="34">
        <v>0.80000001192092896</v>
      </c>
      <c r="P33" s="34">
        <v>0.84</v>
      </c>
      <c r="Q33" s="34">
        <v>0.88</v>
      </c>
      <c r="R33" s="35">
        <v>0.92</v>
      </c>
      <c r="S33" s="34">
        <v>0.96</v>
      </c>
      <c r="T33" s="34">
        <v>1</v>
      </c>
      <c r="U33" s="34">
        <v>1.04</v>
      </c>
      <c r="V33" s="36">
        <v>1.0900000333786011</v>
      </c>
    </row>
    <row r="34" spans="2:22" ht="15" thickBot="1"/>
    <row r="35" spans="2:22" ht="16" thickBot="1">
      <c r="B35" s="585" t="s">
        <v>196</v>
      </c>
      <c r="C35" s="578"/>
      <c r="D35" s="577" t="s">
        <v>462</v>
      </c>
      <c r="E35" s="577"/>
      <c r="F35" s="577"/>
      <c r="G35" s="577"/>
      <c r="H35" s="577"/>
      <c r="I35" s="577"/>
      <c r="J35" s="577"/>
      <c r="K35" s="578"/>
      <c r="M35" s="585" t="s">
        <v>196</v>
      </c>
      <c r="N35" s="578"/>
      <c r="O35" s="577" t="s">
        <v>462</v>
      </c>
      <c r="P35" s="577"/>
      <c r="Q35" s="577"/>
      <c r="R35" s="577"/>
      <c r="S35" s="577"/>
      <c r="T35" s="577"/>
      <c r="U35" s="577"/>
      <c r="V35" s="578"/>
    </row>
    <row r="36" spans="2:22">
      <c r="B36" s="565">
        <v>3</v>
      </c>
      <c r="C36" s="569" t="s">
        <v>463</v>
      </c>
      <c r="D36" s="579" t="s">
        <v>464</v>
      </c>
      <c r="E36" s="580"/>
      <c r="F36" s="580"/>
      <c r="G36" s="580"/>
      <c r="H36" s="580"/>
      <c r="I36" s="580"/>
      <c r="J36" s="580"/>
      <c r="K36" s="581"/>
      <c r="M36" s="565">
        <v>3</v>
      </c>
      <c r="N36" s="569" t="s">
        <v>463</v>
      </c>
      <c r="O36" s="579" t="s">
        <v>464</v>
      </c>
      <c r="P36" s="580"/>
      <c r="Q36" s="580"/>
      <c r="R36" s="580"/>
      <c r="S36" s="580"/>
      <c r="T36" s="580"/>
      <c r="U36" s="580"/>
      <c r="V36" s="581"/>
    </row>
    <row r="37" spans="2:22" ht="15" thickBot="1">
      <c r="B37" s="566"/>
      <c r="C37" s="569"/>
      <c r="D37" s="582"/>
      <c r="E37" s="583"/>
      <c r="F37" s="583"/>
      <c r="G37" s="583"/>
      <c r="H37" s="583"/>
      <c r="I37" s="583"/>
      <c r="J37" s="583"/>
      <c r="K37" s="584"/>
      <c r="M37" s="566"/>
      <c r="N37" s="569"/>
      <c r="O37" s="582"/>
      <c r="P37" s="583"/>
      <c r="Q37" s="583"/>
      <c r="R37" s="583"/>
      <c r="S37" s="583"/>
      <c r="T37" s="583"/>
      <c r="U37" s="583"/>
      <c r="V37" s="584"/>
    </row>
    <row r="38" spans="2:22" ht="15" thickBot="1">
      <c r="B38" s="567"/>
      <c r="C38" s="569"/>
      <c r="D38" s="22">
        <v>0</v>
      </c>
      <c r="E38" s="22">
        <v>500</v>
      </c>
      <c r="F38" s="22">
        <v>1000</v>
      </c>
      <c r="G38" s="22">
        <v>1500</v>
      </c>
      <c r="H38" s="22">
        <v>2000</v>
      </c>
      <c r="I38" s="22">
        <v>2500</v>
      </c>
      <c r="J38" s="22">
        <v>3000</v>
      </c>
      <c r="K38" s="23">
        <v>3500</v>
      </c>
      <c r="M38" s="567"/>
      <c r="N38" s="570"/>
      <c r="O38" s="22">
        <v>0</v>
      </c>
      <c r="P38" s="22">
        <v>500</v>
      </c>
      <c r="Q38" s="22">
        <v>1000</v>
      </c>
      <c r="R38" s="22">
        <v>1500</v>
      </c>
      <c r="S38" s="22">
        <v>2000</v>
      </c>
      <c r="T38" s="22">
        <v>2500</v>
      </c>
      <c r="U38" s="22">
        <v>3000</v>
      </c>
      <c r="V38" s="23">
        <v>3500</v>
      </c>
    </row>
    <row r="39" spans="2:22">
      <c r="B39" s="565">
        <v>5</v>
      </c>
      <c r="C39" s="24">
        <v>100</v>
      </c>
      <c r="D39" s="25">
        <v>1.9700000286102295</v>
      </c>
      <c r="E39" s="25">
        <v>2</v>
      </c>
      <c r="F39" s="25">
        <v>2.0299999999999998</v>
      </c>
      <c r="G39" s="25">
        <v>2.06</v>
      </c>
      <c r="H39" s="25">
        <v>2.1</v>
      </c>
      <c r="I39" s="25">
        <v>2.13</v>
      </c>
      <c r="J39" s="25">
        <v>2.16</v>
      </c>
      <c r="K39" s="26">
        <v>2.2000000476837158</v>
      </c>
      <c r="M39" s="565">
        <v>10</v>
      </c>
      <c r="N39" s="24">
        <v>100</v>
      </c>
      <c r="O39" s="25">
        <v>1.8400000333786011</v>
      </c>
      <c r="P39" s="25">
        <v>1.87</v>
      </c>
      <c r="Q39" s="25">
        <v>1.9</v>
      </c>
      <c r="R39" s="25">
        <v>1.93</v>
      </c>
      <c r="S39" s="25">
        <v>1.97</v>
      </c>
      <c r="T39" s="25">
        <v>2</v>
      </c>
      <c r="U39" s="25">
        <v>2.0299999999999998</v>
      </c>
      <c r="V39" s="26">
        <v>2.0699999332427979</v>
      </c>
    </row>
    <row r="40" spans="2:22">
      <c r="B40" s="566"/>
      <c r="C40" s="27">
        <v>110</v>
      </c>
      <c r="D40" s="28">
        <v>1.8600000143051147</v>
      </c>
      <c r="E40" s="28">
        <v>1.89</v>
      </c>
      <c r="F40" s="28">
        <v>1.92</v>
      </c>
      <c r="G40" s="28">
        <v>1.95</v>
      </c>
      <c r="H40" s="28">
        <v>1.99</v>
      </c>
      <c r="I40" s="28">
        <v>2.02</v>
      </c>
      <c r="J40" s="28">
        <v>2.0499999999999998</v>
      </c>
      <c r="K40" s="29">
        <v>2.0899999141693115</v>
      </c>
      <c r="M40" s="566"/>
      <c r="N40" s="27">
        <v>110</v>
      </c>
      <c r="O40" s="28">
        <v>1.7300000190734863</v>
      </c>
      <c r="P40" s="28">
        <v>1.76</v>
      </c>
      <c r="Q40" s="28">
        <v>1.79</v>
      </c>
      <c r="R40" s="28">
        <v>1.82</v>
      </c>
      <c r="S40" s="28">
        <v>1.86</v>
      </c>
      <c r="T40" s="28">
        <v>1.89</v>
      </c>
      <c r="U40" s="28">
        <v>1.92</v>
      </c>
      <c r="V40" s="29">
        <v>1.9600000381469727</v>
      </c>
    </row>
    <row r="41" spans="2:22">
      <c r="B41" s="566"/>
      <c r="C41" s="30">
        <v>120</v>
      </c>
      <c r="D41" s="31">
        <v>1.7699999809265137</v>
      </c>
      <c r="E41" s="31">
        <v>1.8</v>
      </c>
      <c r="F41" s="31">
        <v>1.83</v>
      </c>
      <c r="G41" s="31">
        <v>1.86</v>
      </c>
      <c r="H41" s="31">
        <v>1.9</v>
      </c>
      <c r="I41" s="31">
        <v>1.93</v>
      </c>
      <c r="J41" s="31">
        <v>1.96</v>
      </c>
      <c r="K41" s="32">
        <v>2</v>
      </c>
      <c r="M41" s="566"/>
      <c r="N41" s="30">
        <v>120</v>
      </c>
      <c r="O41" s="31">
        <v>1.6299999952316284</v>
      </c>
      <c r="P41" s="31">
        <v>1.66</v>
      </c>
      <c r="Q41" s="31">
        <v>1.69</v>
      </c>
      <c r="R41" s="31">
        <v>1.73</v>
      </c>
      <c r="S41" s="31">
        <v>1.76</v>
      </c>
      <c r="T41" s="31">
        <v>1.8</v>
      </c>
      <c r="U41" s="31">
        <v>1.83</v>
      </c>
      <c r="V41" s="32">
        <v>1.8700000047683716</v>
      </c>
    </row>
    <row r="42" spans="2:22">
      <c r="B42" s="566"/>
      <c r="C42" s="27">
        <v>130</v>
      </c>
      <c r="D42" s="28">
        <v>1.6799999475479126</v>
      </c>
      <c r="E42" s="28">
        <v>1.71</v>
      </c>
      <c r="F42" s="28">
        <v>1.74</v>
      </c>
      <c r="G42" s="28">
        <v>1.77</v>
      </c>
      <c r="H42" s="28">
        <v>1.81</v>
      </c>
      <c r="I42" s="28">
        <v>1.84</v>
      </c>
      <c r="J42" s="28">
        <v>1.87</v>
      </c>
      <c r="K42" s="29">
        <v>1.9099999666213989</v>
      </c>
      <c r="M42" s="566"/>
      <c r="N42" s="27">
        <v>130</v>
      </c>
      <c r="O42" s="28">
        <v>1.5199999809265137</v>
      </c>
      <c r="P42" s="28">
        <v>1.55</v>
      </c>
      <c r="Q42" s="28">
        <v>1.59</v>
      </c>
      <c r="R42" s="28">
        <v>1.63</v>
      </c>
      <c r="S42" s="28">
        <v>1.67</v>
      </c>
      <c r="T42" s="28">
        <v>1.71</v>
      </c>
      <c r="U42" s="28">
        <v>1.75</v>
      </c>
      <c r="V42" s="29">
        <v>1.7899999618530273</v>
      </c>
    </row>
    <row r="43" spans="2:22">
      <c r="B43" s="566"/>
      <c r="C43" s="30">
        <v>140</v>
      </c>
      <c r="D43" s="31">
        <v>1.5900000333786011</v>
      </c>
      <c r="E43" s="31">
        <v>1.62</v>
      </c>
      <c r="F43" s="31">
        <v>1.65</v>
      </c>
      <c r="G43" s="31">
        <v>1.69</v>
      </c>
      <c r="H43" s="31">
        <v>1.72</v>
      </c>
      <c r="I43" s="31">
        <v>1.76</v>
      </c>
      <c r="J43" s="31">
        <v>1.79</v>
      </c>
      <c r="K43" s="32">
        <v>1.8300000429153442</v>
      </c>
      <c r="M43" s="566"/>
      <c r="N43" s="30">
        <v>140</v>
      </c>
      <c r="O43" s="31">
        <v>1.4199999570846558</v>
      </c>
      <c r="P43" s="31">
        <v>1.46</v>
      </c>
      <c r="Q43" s="31">
        <v>1.5</v>
      </c>
      <c r="R43" s="31">
        <v>1.54</v>
      </c>
      <c r="S43" s="31">
        <v>1.58</v>
      </c>
      <c r="T43" s="31">
        <v>1.62</v>
      </c>
      <c r="U43" s="31">
        <v>1.66</v>
      </c>
      <c r="V43" s="32">
        <v>1.7100000381469727</v>
      </c>
    </row>
    <row r="44" spans="2:22">
      <c r="B44" s="566"/>
      <c r="C44" s="27">
        <v>150</v>
      </c>
      <c r="D44" s="28">
        <v>1.4900000095367432</v>
      </c>
      <c r="E44" s="28">
        <v>1.52</v>
      </c>
      <c r="F44" s="28">
        <v>1.56</v>
      </c>
      <c r="G44" s="28">
        <v>1.6</v>
      </c>
      <c r="H44" s="28">
        <v>1.64</v>
      </c>
      <c r="I44" s="28">
        <v>1.68</v>
      </c>
      <c r="J44" s="28">
        <v>1.72</v>
      </c>
      <c r="K44" s="29">
        <v>1.7599999904632568</v>
      </c>
      <c r="M44" s="566"/>
      <c r="N44" s="27">
        <v>150</v>
      </c>
      <c r="O44" s="28">
        <v>1.3400000333786011</v>
      </c>
      <c r="P44" s="28">
        <v>1.37</v>
      </c>
      <c r="Q44" s="28">
        <v>1.41</v>
      </c>
      <c r="R44" s="28">
        <v>1.45</v>
      </c>
      <c r="S44" s="28">
        <v>1.49</v>
      </c>
      <c r="T44" s="28">
        <v>1.53</v>
      </c>
      <c r="U44" s="28">
        <v>1.57</v>
      </c>
      <c r="V44" s="29">
        <v>1.6100000143051147</v>
      </c>
    </row>
    <row r="45" spans="2:22">
      <c r="B45" s="566"/>
      <c r="C45" s="30">
        <v>160</v>
      </c>
      <c r="D45" s="31">
        <v>1.3999999761581421</v>
      </c>
      <c r="E45" s="31">
        <v>1.44</v>
      </c>
      <c r="F45" s="31">
        <v>1.48</v>
      </c>
      <c r="G45" s="31">
        <v>1.52</v>
      </c>
      <c r="H45" s="31">
        <v>1.56</v>
      </c>
      <c r="I45" s="31">
        <v>1.6</v>
      </c>
      <c r="J45" s="31">
        <v>1.64</v>
      </c>
      <c r="K45" s="32">
        <v>1.690000057220459</v>
      </c>
      <c r="M45" s="566"/>
      <c r="N45" s="30">
        <v>160</v>
      </c>
      <c r="O45" s="31">
        <v>1.2599999904632568</v>
      </c>
      <c r="P45" s="31">
        <v>1.29</v>
      </c>
      <c r="Q45" s="31">
        <v>1.33</v>
      </c>
      <c r="R45" s="31">
        <v>1.37</v>
      </c>
      <c r="S45" s="31">
        <v>1.41</v>
      </c>
      <c r="T45" s="31">
        <v>1.45</v>
      </c>
      <c r="U45" s="31">
        <v>1.49</v>
      </c>
      <c r="V45" s="32">
        <v>1.5299999713897705</v>
      </c>
    </row>
    <row r="46" spans="2:22">
      <c r="B46" s="566"/>
      <c r="C46" s="27">
        <v>170</v>
      </c>
      <c r="D46" s="28">
        <v>1.3300000429153442</v>
      </c>
      <c r="E46" s="28">
        <v>1.37</v>
      </c>
      <c r="F46" s="28">
        <v>1.41</v>
      </c>
      <c r="G46" s="28">
        <v>1.45</v>
      </c>
      <c r="H46" s="28">
        <v>1.49</v>
      </c>
      <c r="I46" s="28">
        <v>1.53</v>
      </c>
      <c r="J46" s="28">
        <v>1.57</v>
      </c>
      <c r="K46" s="29">
        <v>1.6100000143051147</v>
      </c>
      <c r="M46" s="566"/>
      <c r="N46" s="27">
        <v>170</v>
      </c>
      <c r="O46" s="28">
        <v>1.190000057220459</v>
      </c>
      <c r="P46" s="28">
        <v>1.22</v>
      </c>
      <c r="Q46" s="28">
        <v>1.26</v>
      </c>
      <c r="R46" s="28">
        <v>1.3</v>
      </c>
      <c r="S46" s="28">
        <v>1.33</v>
      </c>
      <c r="T46" s="28">
        <v>1.37</v>
      </c>
      <c r="U46" s="28">
        <v>1.41</v>
      </c>
      <c r="V46" s="29">
        <v>1.4500000476837158</v>
      </c>
    </row>
    <row r="47" spans="2:22">
      <c r="B47" s="566"/>
      <c r="C47" s="30">
        <v>180</v>
      </c>
      <c r="D47" s="31">
        <v>1.2699999809265137</v>
      </c>
      <c r="E47" s="31">
        <v>1.3</v>
      </c>
      <c r="F47" s="31">
        <v>1.34</v>
      </c>
      <c r="G47" s="31">
        <v>1.38</v>
      </c>
      <c r="H47" s="31">
        <v>1.42</v>
      </c>
      <c r="I47" s="31">
        <v>1.46</v>
      </c>
      <c r="J47" s="31">
        <v>1.5</v>
      </c>
      <c r="K47" s="32">
        <v>1.5399999618530273</v>
      </c>
      <c r="M47" s="566"/>
      <c r="N47" s="30">
        <v>180</v>
      </c>
      <c r="O47" s="31">
        <v>1.1200000047683716</v>
      </c>
      <c r="P47" s="31">
        <v>1.1499999999999999</v>
      </c>
      <c r="Q47" s="31">
        <v>1.19</v>
      </c>
      <c r="R47" s="31">
        <v>1.23</v>
      </c>
      <c r="S47" s="31">
        <v>1.26</v>
      </c>
      <c r="T47" s="31">
        <v>1.3</v>
      </c>
      <c r="U47" s="31">
        <v>1.34</v>
      </c>
      <c r="V47" s="32">
        <v>1.3799999952316284</v>
      </c>
    </row>
    <row r="48" spans="2:22">
      <c r="B48" s="566"/>
      <c r="C48" s="27">
        <v>190</v>
      </c>
      <c r="D48" s="28">
        <v>1.2100000381469727</v>
      </c>
      <c r="E48" s="28">
        <v>1.24</v>
      </c>
      <c r="F48" s="28">
        <v>1.28</v>
      </c>
      <c r="G48" s="28">
        <v>1.32</v>
      </c>
      <c r="H48" s="28">
        <v>1.35</v>
      </c>
      <c r="I48" s="28">
        <v>1.39</v>
      </c>
      <c r="J48" s="28">
        <v>1.43</v>
      </c>
      <c r="K48" s="29">
        <v>1.4700000286102295</v>
      </c>
      <c r="M48" s="566"/>
      <c r="N48" s="27">
        <v>190</v>
      </c>
      <c r="O48" s="28">
        <v>1.0499999523162842</v>
      </c>
      <c r="P48" s="28">
        <v>1.08</v>
      </c>
      <c r="Q48" s="28">
        <v>1.1200000000000001</v>
      </c>
      <c r="R48" s="28">
        <v>1.1599999999999999</v>
      </c>
      <c r="S48" s="28">
        <v>1.2</v>
      </c>
      <c r="T48" s="28">
        <v>1.24</v>
      </c>
      <c r="U48" s="28">
        <v>1.28</v>
      </c>
      <c r="V48" s="29">
        <v>1.3200000524520874</v>
      </c>
    </row>
    <row r="49" spans="2:22" ht="15" thickBot="1">
      <c r="B49" s="566"/>
      <c r="C49" s="33">
        <v>200</v>
      </c>
      <c r="D49" s="34">
        <v>1.1499999761581421</v>
      </c>
      <c r="E49" s="34">
        <v>1.18</v>
      </c>
      <c r="F49" s="34">
        <v>1.22</v>
      </c>
      <c r="G49" s="35">
        <v>1.25</v>
      </c>
      <c r="H49" s="34">
        <v>1.29</v>
      </c>
      <c r="I49" s="34">
        <v>1.32</v>
      </c>
      <c r="J49" s="34">
        <v>1.36</v>
      </c>
      <c r="K49" s="36">
        <v>1.3999999761581421</v>
      </c>
      <c r="M49" s="566"/>
      <c r="N49" s="33">
        <v>200</v>
      </c>
      <c r="O49" s="34">
        <v>1</v>
      </c>
      <c r="P49" s="34">
        <v>1.03</v>
      </c>
      <c r="Q49" s="34">
        <v>1.07</v>
      </c>
      <c r="R49" s="35">
        <v>1.1000000000000001</v>
      </c>
      <c r="S49" s="34">
        <v>1.1399999999999999</v>
      </c>
      <c r="T49" s="34">
        <v>1.17</v>
      </c>
      <c r="U49" s="34">
        <v>1.21</v>
      </c>
      <c r="V49" s="36">
        <v>1.25</v>
      </c>
    </row>
    <row r="50" spans="2:22" ht="15" thickBot="1"/>
    <row r="51" spans="2:22" ht="16" thickBot="1">
      <c r="B51" s="585" t="s">
        <v>196</v>
      </c>
      <c r="C51" s="578"/>
      <c r="D51" s="577" t="s">
        <v>462</v>
      </c>
      <c r="E51" s="577"/>
      <c r="F51" s="577"/>
      <c r="G51" s="577"/>
      <c r="H51" s="577"/>
      <c r="I51" s="577"/>
      <c r="J51" s="577"/>
      <c r="K51" s="578"/>
      <c r="M51" s="42" t="s">
        <v>196</v>
      </c>
      <c r="N51" s="43"/>
      <c r="O51" s="577" t="s">
        <v>462</v>
      </c>
      <c r="P51" s="577"/>
      <c r="Q51" s="577"/>
      <c r="R51" s="577"/>
      <c r="S51" s="577"/>
      <c r="T51" s="577"/>
      <c r="U51" s="577"/>
      <c r="V51" s="578"/>
    </row>
    <row r="52" spans="2:22">
      <c r="B52" s="565">
        <v>4</v>
      </c>
      <c r="C52" s="569" t="s">
        <v>463</v>
      </c>
      <c r="D52" s="579" t="s">
        <v>464</v>
      </c>
      <c r="E52" s="580"/>
      <c r="F52" s="580"/>
      <c r="G52" s="580"/>
      <c r="H52" s="580"/>
      <c r="I52" s="580"/>
      <c r="J52" s="580"/>
      <c r="K52" s="581"/>
      <c r="M52" s="565">
        <v>4</v>
      </c>
      <c r="N52" s="569" t="s">
        <v>463</v>
      </c>
      <c r="O52" s="579" t="s">
        <v>464</v>
      </c>
      <c r="P52" s="580"/>
      <c r="Q52" s="580"/>
      <c r="R52" s="580"/>
      <c r="S52" s="580"/>
      <c r="T52" s="580"/>
      <c r="U52" s="580"/>
      <c r="V52" s="581"/>
    </row>
    <row r="53" spans="2:22" ht="15" thickBot="1">
      <c r="B53" s="566"/>
      <c r="C53" s="569"/>
      <c r="D53" s="582"/>
      <c r="E53" s="583"/>
      <c r="F53" s="583"/>
      <c r="G53" s="583"/>
      <c r="H53" s="583"/>
      <c r="I53" s="583"/>
      <c r="J53" s="583"/>
      <c r="K53" s="584"/>
      <c r="M53" s="566"/>
      <c r="N53" s="569"/>
      <c r="O53" s="582"/>
      <c r="P53" s="583"/>
      <c r="Q53" s="583"/>
      <c r="R53" s="583"/>
      <c r="S53" s="583"/>
      <c r="T53" s="583"/>
      <c r="U53" s="583"/>
      <c r="V53" s="584"/>
    </row>
    <row r="54" spans="2:22" ht="15" thickBot="1">
      <c r="B54" s="567"/>
      <c r="C54" s="569"/>
      <c r="D54" s="22">
        <v>0</v>
      </c>
      <c r="E54" s="22">
        <v>500</v>
      </c>
      <c r="F54" s="22">
        <v>1000</v>
      </c>
      <c r="G54" s="22">
        <v>1500</v>
      </c>
      <c r="H54" s="22">
        <v>2000</v>
      </c>
      <c r="I54" s="22">
        <v>2500</v>
      </c>
      <c r="J54" s="22">
        <v>3000</v>
      </c>
      <c r="K54" s="23">
        <v>3500</v>
      </c>
      <c r="M54" s="567"/>
      <c r="N54" s="570"/>
      <c r="O54" s="22">
        <v>0</v>
      </c>
      <c r="P54" s="22">
        <v>500</v>
      </c>
      <c r="Q54" s="22">
        <v>1000</v>
      </c>
      <c r="R54" s="22">
        <v>1500</v>
      </c>
      <c r="S54" s="22">
        <v>2000</v>
      </c>
      <c r="T54" s="22">
        <v>2500</v>
      </c>
      <c r="U54" s="22">
        <v>3000</v>
      </c>
      <c r="V54" s="23">
        <v>3500</v>
      </c>
    </row>
    <row r="55" spans="2:22">
      <c r="B55" s="565">
        <v>5</v>
      </c>
      <c r="C55" s="24">
        <v>100</v>
      </c>
      <c r="D55" s="25">
        <v>2.0499999523162842</v>
      </c>
      <c r="E55" s="25">
        <v>2.08</v>
      </c>
      <c r="F55" s="25">
        <v>2.11</v>
      </c>
      <c r="G55" s="25">
        <v>2.15</v>
      </c>
      <c r="H55" s="25">
        <v>2.1800000000000002</v>
      </c>
      <c r="I55" s="25">
        <v>2.2200000000000002</v>
      </c>
      <c r="J55" s="25">
        <v>2.25</v>
      </c>
      <c r="K55" s="26">
        <v>2.2899999618530273</v>
      </c>
      <c r="M55" s="565">
        <v>10</v>
      </c>
      <c r="N55" s="24">
        <v>100</v>
      </c>
      <c r="O55" s="25">
        <v>1.9199999570846558</v>
      </c>
      <c r="P55" s="25">
        <v>1.95</v>
      </c>
      <c r="Q55" s="25">
        <v>1.98</v>
      </c>
      <c r="R55" s="25">
        <v>2.0099999999999998</v>
      </c>
      <c r="S55" s="25">
        <v>2.0499999999999998</v>
      </c>
      <c r="T55" s="25">
        <v>2.08</v>
      </c>
      <c r="U55" s="25">
        <v>2.11</v>
      </c>
      <c r="V55" s="26">
        <v>2.1500000953674316</v>
      </c>
    </row>
    <row r="56" spans="2:22">
      <c r="B56" s="566"/>
      <c r="C56" s="27">
        <v>110</v>
      </c>
      <c r="D56" s="28">
        <v>1.9500000476837158</v>
      </c>
      <c r="E56" s="28">
        <v>1.98</v>
      </c>
      <c r="F56" s="28">
        <v>2.0099999999999998</v>
      </c>
      <c r="G56" s="28">
        <v>2.04</v>
      </c>
      <c r="H56" s="28">
        <v>2.08</v>
      </c>
      <c r="I56" s="28">
        <v>2.11</v>
      </c>
      <c r="J56" s="28">
        <v>2.14</v>
      </c>
      <c r="K56" s="29">
        <v>2.1800000667572021</v>
      </c>
      <c r="M56" s="566"/>
      <c r="N56" s="27">
        <v>110</v>
      </c>
      <c r="O56" s="28">
        <v>1.8200000524520874</v>
      </c>
      <c r="P56" s="28">
        <v>1.85</v>
      </c>
      <c r="Q56" s="28">
        <v>1.88</v>
      </c>
      <c r="R56" s="28">
        <v>1.91</v>
      </c>
      <c r="S56" s="28">
        <v>1.95</v>
      </c>
      <c r="T56" s="28">
        <v>1.98</v>
      </c>
      <c r="U56" s="28">
        <v>2.0099999999999998</v>
      </c>
      <c r="V56" s="29">
        <v>2.0499999523162842</v>
      </c>
    </row>
    <row r="57" spans="2:22">
      <c r="B57" s="566"/>
      <c r="C57" s="30">
        <v>120</v>
      </c>
      <c r="D57" s="31">
        <v>1.8500000238418579</v>
      </c>
      <c r="E57" s="31">
        <v>1.88</v>
      </c>
      <c r="F57" s="31">
        <v>1.91</v>
      </c>
      <c r="G57" s="31">
        <v>1.94</v>
      </c>
      <c r="H57" s="31">
        <v>1.98</v>
      </c>
      <c r="I57" s="31">
        <v>2.0099999999999998</v>
      </c>
      <c r="J57" s="31">
        <v>2.04</v>
      </c>
      <c r="K57" s="32">
        <v>2.0799999237060547</v>
      </c>
      <c r="M57" s="566"/>
      <c r="N57" s="30">
        <v>120</v>
      </c>
      <c r="O57" s="31">
        <v>1.7300000190734863</v>
      </c>
      <c r="P57" s="31">
        <v>1.76</v>
      </c>
      <c r="Q57" s="31">
        <v>1.79</v>
      </c>
      <c r="R57" s="31">
        <v>1.82</v>
      </c>
      <c r="S57" s="31">
        <v>1.86</v>
      </c>
      <c r="T57" s="31">
        <v>1.89</v>
      </c>
      <c r="U57" s="31">
        <v>1.92</v>
      </c>
      <c r="V57" s="32">
        <v>1.9600000381469727</v>
      </c>
    </row>
    <row r="58" spans="2:22">
      <c r="B58" s="566"/>
      <c r="C58" s="27">
        <v>130</v>
      </c>
      <c r="D58" s="28">
        <v>1.7699999809265137</v>
      </c>
      <c r="E58" s="28">
        <v>1.8</v>
      </c>
      <c r="F58" s="28">
        <v>1.83</v>
      </c>
      <c r="G58" s="28">
        <v>1.86</v>
      </c>
      <c r="H58" s="28">
        <v>1.89</v>
      </c>
      <c r="I58" s="28">
        <v>1.92</v>
      </c>
      <c r="J58" s="28">
        <v>1.95</v>
      </c>
      <c r="K58" s="29">
        <v>1.9900000095367432</v>
      </c>
      <c r="M58" s="566"/>
      <c r="N58" s="27">
        <v>130</v>
      </c>
      <c r="O58" s="28">
        <v>1.6200000047683716</v>
      </c>
      <c r="P58" s="28">
        <v>1.65</v>
      </c>
      <c r="Q58" s="28">
        <v>1.69</v>
      </c>
      <c r="R58" s="28">
        <v>1.72</v>
      </c>
      <c r="S58" s="28">
        <v>1.76</v>
      </c>
      <c r="T58" s="28">
        <v>1.79</v>
      </c>
      <c r="U58" s="28">
        <v>1.83</v>
      </c>
      <c r="V58" s="29">
        <v>1.8700000047683716</v>
      </c>
    </row>
    <row r="59" spans="2:22">
      <c r="B59" s="566"/>
      <c r="C59" s="30">
        <v>140</v>
      </c>
      <c r="D59" s="31">
        <v>1.690000057220459</v>
      </c>
      <c r="E59" s="31">
        <v>1.72</v>
      </c>
      <c r="F59" s="31">
        <v>1.75</v>
      </c>
      <c r="G59" s="31">
        <v>1.78</v>
      </c>
      <c r="H59" s="31">
        <v>1.81</v>
      </c>
      <c r="I59" s="31">
        <v>1.84</v>
      </c>
      <c r="J59" s="31">
        <v>1.87</v>
      </c>
      <c r="K59" s="32">
        <v>1.9099999666213989</v>
      </c>
      <c r="M59" s="566"/>
      <c r="N59" s="30">
        <v>140</v>
      </c>
      <c r="O59" s="31">
        <v>1.5299999713897705</v>
      </c>
      <c r="P59" s="31">
        <v>1.56</v>
      </c>
      <c r="Q59" s="31">
        <v>1.6</v>
      </c>
      <c r="R59" s="31">
        <v>1.64</v>
      </c>
      <c r="S59" s="31">
        <v>1.67</v>
      </c>
      <c r="T59" s="31">
        <v>1.71</v>
      </c>
      <c r="U59" s="31">
        <v>1.75</v>
      </c>
      <c r="V59" s="32">
        <v>1.7899999618530273</v>
      </c>
    </row>
    <row r="60" spans="2:22">
      <c r="B60" s="566"/>
      <c r="C60" s="27">
        <v>150</v>
      </c>
      <c r="D60" s="28">
        <v>1.6000000238418579</v>
      </c>
      <c r="E60" s="28">
        <v>1.63</v>
      </c>
      <c r="F60" s="28">
        <v>1.66</v>
      </c>
      <c r="G60" s="28">
        <v>1.7</v>
      </c>
      <c r="H60" s="28">
        <v>1.73</v>
      </c>
      <c r="I60" s="28">
        <v>1.77</v>
      </c>
      <c r="J60" s="28">
        <v>1.8</v>
      </c>
      <c r="K60" s="29">
        <v>1.8400000333786011</v>
      </c>
      <c r="M60" s="566"/>
      <c r="N60" s="27">
        <v>150</v>
      </c>
      <c r="O60" s="28">
        <v>1.4299999475479126</v>
      </c>
      <c r="P60" s="28">
        <v>1.46</v>
      </c>
      <c r="Q60" s="28">
        <v>1.5</v>
      </c>
      <c r="R60" s="28">
        <v>1.54</v>
      </c>
      <c r="S60" s="28">
        <v>1.58</v>
      </c>
      <c r="T60" s="28">
        <v>1.63</v>
      </c>
      <c r="U60" s="28">
        <v>1.67</v>
      </c>
      <c r="V60" s="29">
        <v>1.7100000381469727</v>
      </c>
    </row>
    <row r="61" spans="2:22">
      <c r="B61" s="566"/>
      <c r="C61" s="30">
        <v>160</v>
      </c>
      <c r="D61" s="31">
        <v>1.5099999904632568</v>
      </c>
      <c r="E61" s="31">
        <v>1.54</v>
      </c>
      <c r="F61" s="31">
        <v>1.58</v>
      </c>
      <c r="G61" s="31">
        <v>1.62</v>
      </c>
      <c r="H61" s="31">
        <v>1.65</v>
      </c>
      <c r="I61" s="31">
        <v>1.69</v>
      </c>
      <c r="J61" s="31">
        <v>1.73</v>
      </c>
      <c r="K61" s="32">
        <v>1.7699999809265137</v>
      </c>
      <c r="M61" s="566"/>
      <c r="N61" s="30">
        <v>160</v>
      </c>
      <c r="O61" s="31">
        <v>1.3500000238418579</v>
      </c>
      <c r="P61" s="31">
        <v>1.39</v>
      </c>
      <c r="Q61" s="31">
        <v>1.43</v>
      </c>
      <c r="R61" s="31">
        <v>1.47</v>
      </c>
      <c r="S61" s="31">
        <v>1.51</v>
      </c>
      <c r="T61" s="31">
        <v>1.55</v>
      </c>
      <c r="U61" s="31">
        <v>1.58</v>
      </c>
      <c r="V61" s="32">
        <v>1.6299999952316284</v>
      </c>
    </row>
    <row r="62" spans="2:22">
      <c r="B62" s="566"/>
      <c r="C62" s="27">
        <v>170</v>
      </c>
      <c r="D62" s="28">
        <v>1.4299999475479126</v>
      </c>
      <c r="E62" s="28">
        <v>1.46</v>
      </c>
      <c r="F62" s="28">
        <v>1.5</v>
      </c>
      <c r="G62" s="28">
        <v>1.54</v>
      </c>
      <c r="H62" s="28">
        <v>1.58</v>
      </c>
      <c r="I62" s="28">
        <v>1.63</v>
      </c>
      <c r="J62" s="28">
        <v>1.67</v>
      </c>
      <c r="K62" s="29">
        <v>1.7100000381469727</v>
      </c>
      <c r="M62" s="566"/>
      <c r="N62" s="27">
        <v>170</v>
      </c>
      <c r="O62" s="28">
        <v>1.2799999713897705</v>
      </c>
      <c r="P62" s="28">
        <v>1.31</v>
      </c>
      <c r="Q62" s="28">
        <v>1.35</v>
      </c>
      <c r="R62" s="28">
        <v>1.39</v>
      </c>
      <c r="S62" s="28">
        <v>1.43</v>
      </c>
      <c r="T62" s="28">
        <v>1.47</v>
      </c>
      <c r="U62" s="28">
        <v>1.51</v>
      </c>
      <c r="V62" s="29">
        <v>1.5499999523162842</v>
      </c>
    </row>
    <row r="63" spans="2:22">
      <c r="B63" s="566"/>
      <c r="C63" s="30">
        <v>180</v>
      </c>
      <c r="D63" s="31">
        <v>1.3600000143051147</v>
      </c>
      <c r="E63" s="31">
        <v>1.4</v>
      </c>
      <c r="F63" s="31">
        <v>1.44</v>
      </c>
      <c r="G63" s="31">
        <v>1.48</v>
      </c>
      <c r="H63" s="31">
        <v>1.51</v>
      </c>
      <c r="I63" s="31">
        <v>1.55</v>
      </c>
      <c r="J63" s="31">
        <v>1.59</v>
      </c>
      <c r="K63" s="32">
        <v>1.6399999856948853</v>
      </c>
      <c r="M63" s="566"/>
      <c r="N63" s="30">
        <v>180</v>
      </c>
      <c r="O63" s="31">
        <v>1.2100000381469727</v>
      </c>
      <c r="P63" s="31">
        <v>1.24</v>
      </c>
      <c r="Q63" s="31">
        <v>1.28</v>
      </c>
      <c r="R63" s="31">
        <v>1.32</v>
      </c>
      <c r="S63" s="31">
        <v>1.36</v>
      </c>
      <c r="T63" s="31">
        <v>1.4</v>
      </c>
      <c r="U63" s="31">
        <v>1.44</v>
      </c>
      <c r="V63" s="32">
        <v>1.4800000190734863</v>
      </c>
    </row>
    <row r="64" spans="2:22">
      <c r="B64" s="566"/>
      <c r="C64" s="27">
        <v>190</v>
      </c>
      <c r="D64" s="28">
        <v>1.2899999618530273</v>
      </c>
      <c r="E64" s="28">
        <v>1.32</v>
      </c>
      <c r="F64" s="28">
        <v>1.36</v>
      </c>
      <c r="G64" s="28">
        <v>1.41</v>
      </c>
      <c r="H64" s="28">
        <v>1.45</v>
      </c>
      <c r="I64" s="28">
        <v>1.49</v>
      </c>
      <c r="J64" s="28">
        <v>1.53</v>
      </c>
      <c r="K64" s="29">
        <v>1.5700000524520874</v>
      </c>
      <c r="M64" s="566"/>
      <c r="N64" s="27">
        <v>190</v>
      </c>
      <c r="O64" s="28">
        <v>1.1399999856948853</v>
      </c>
      <c r="P64" s="28">
        <v>1.17</v>
      </c>
      <c r="Q64" s="28">
        <v>1.21</v>
      </c>
      <c r="R64" s="28">
        <v>1.25</v>
      </c>
      <c r="S64" s="28">
        <v>1.29</v>
      </c>
      <c r="T64" s="28">
        <v>1.33</v>
      </c>
      <c r="U64" s="28">
        <v>1.37</v>
      </c>
      <c r="V64" s="29">
        <v>1.4099999666213989</v>
      </c>
    </row>
    <row r="65" spans="2:22" ht="15" thickBot="1">
      <c r="B65" s="566"/>
      <c r="C65" s="33">
        <v>200</v>
      </c>
      <c r="D65" s="34">
        <v>1.2400000095367432</v>
      </c>
      <c r="E65" s="34">
        <v>1.27</v>
      </c>
      <c r="F65" s="34">
        <v>1.31</v>
      </c>
      <c r="G65" s="35">
        <v>1.35</v>
      </c>
      <c r="H65" s="34">
        <v>1.38</v>
      </c>
      <c r="I65" s="34">
        <v>1.42</v>
      </c>
      <c r="J65" s="34">
        <v>1.46</v>
      </c>
      <c r="K65" s="36">
        <v>1.5</v>
      </c>
      <c r="M65" s="566"/>
      <c r="N65" s="33">
        <v>200</v>
      </c>
      <c r="O65" s="34">
        <v>1.0800000429153442</v>
      </c>
      <c r="P65" s="34">
        <v>1.1100000000000001</v>
      </c>
      <c r="Q65" s="34">
        <v>1.1499999999999999</v>
      </c>
      <c r="R65" s="35">
        <v>1.19</v>
      </c>
      <c r="S65" s="34">
        <v>1.23</v>
      </c>
      <c r="T65" s="34">
        <v>1.27</v>
      </c>
      <c r="U65" s="34">
        <v>1.31</v>
      </c>
      <c r="V65" s="36">
        <v>1.3500000238418579</v>
      </c>
    </row>
    <row r="66" spans="2:22" ht="15" thickBot="1"/>
    <row r="67" spans="2:22" ht="16" thickBot="1">
      <c r="B67" s="42" t="s">
        <v>196</v>
      </c>
      <c r="C67" s="43"/>
      <c r="D67" s="577" t="s">
        <v>462</v>
      </c>
      <c r="E67" s="577"/>
      <c r="F67" s="577"/>
      <c r="G67" s="577"/>
      <c r="H67" s="577"/>
      <c r="I67" s="577"/>
      <c r="J67" s="577"/>
      <c r="K67" s="578"/>
      <c r="M67" s="42" t="s">
        <v>196</v>
      </c>
      <c r="N67" s="43"/>
      <c r="O67" s="577" t="s">
        <v>462</v>
      </c>
      <c r="P67" s="577"/>
      <c r="Q67" s="577"/>
      <c r="R67" s="577"/>
      <c r="S67" s="577"/>
      <c r="T67" s="577"/>
      <c r="U67" s="577"/>
      <c r="V67" s="578"/>
    </row>
    <row r="68" spans="2:22" ht="15" customHeight="1">
      <c r="B68" s="565">
        <v>1</v>
      </c>
      <c r="C68" s="569" t="s">
        <v>463</v>
      </c>
      <c r="D68" s="579" t="s">
        <v>464</v>
      </c>
      <c r="E68" s="580"/>
      <c r="F68" s="580"/>
      <c r="G68" s="580"/>
      <c r="H68" s="580"/>
      <c r="I68" s="580"/>
      <c r="J68" s="580"/>
      <c r="K68" s="581"/>
      <c r="M68" s="565">
        <v>1</v>
      </c>
      <c r="N68" s="569" t="s">
        <v>463</v>
      </c>
      <c r="O68" s="579" t="s">
        <v>464</v>
      </c>
      <c r="P68" s="580"/>
      <c r="Q68" s="580"/>
      <c r="R68" s="580"/>
      <c r="S68" s="580"/>
      <c r="T68" s="580"/>
      <c r="U68" s="580"/>
      <c r="V68" s="581"/>
    </row>
    <row r="69" spans="2:22" ht="15" thickBot="1">
      <c r="B69" s="566"/>
      <c r="C69" s="569"/>
      <c r="D69" s="582"/>
      <c r="E69" s="583"/>
      <c r="F69" s="583"/>
      <c r="G69" s="583"/>
      <c r="H69" s="583"/>
      <c r="I69" s="583"/>
      <c r="J69" s="583"/>
      <c r="K69" s="584"/>
      <c r="M69" s="566"/>
      <c r="N69" s="569"/>
      <c r="O69" s="582"/>
      <c r="P69" s="583"/>
      <c r="Q69" s="583"/>
      <c r="R69" s="583"/>
      <c r="S69" s="583"/>
      <c r="T69" s="583"/>
      <c r="U69" s="583"/>
      <c r="V69" s="584"/>
    </row>
    <row r="70" spans="2:22" ht="15" thickBot="1">
      <c r="B70" s="567"/>
      <c r="C70" s="570"/>
      <c r="D70" s="22">
        <v>0</v>
      </c>
      <c r="E70" s="22">
        <v>500</v>
      </c>
      <c r="F70" s="22">
        <v>1000</v>
      </c>
      <c r="G70" s="22">
        <v>1500</v>
      </c>
      <c r="H70" s="22">
        <v>2000</v>
      </c>
      <c r="I70" s="22">
        <v>2500</v>
      </c>
      <c r="J70" s="22">
        <v>3000</v>
      </c>
      <c r="K70" s="23">
        <v>3500</v>
      </c>
      <c r="M70" s="567"/>
      <c r="N70" s="570"/>
      <c r="O70" s="22">
        <v>0</v>
      </c>
      <c r="P70" s="22">
        <v>500</v>
      </c>
      <c r="Q70" s="22">
        <v>1000</v>
      </c>
      <c r="R70" s="22">
        <v>1500</v>
      </c>
      <c r="S70" s="22">
        <v>2000</v>
      </c>
      <c r="T70" s="22">
        <v>2500</v>
      </c>
      <c r="U70" s="22">
        <v>3000</v>
      </c>
      <c r="V70" s="23">
        <v>3500</v>
      </c>
    </row>
    <row r="71" spans="2:22" ht="15" customHeight="1">
      <c r="B71" s="565">
        <v>15</v>
      </c>
      <c r="C71" s="24">
        <v>100</v>
      </c>
      <c r="D71" s="25">
        <v>1.3600000143051147</v>
      </c>
      <c r="E71" s="25">
        <v>1.3999999761581421</v>
      </c>
      <c r="F71" s="25">
        <v>1.440000057220459</v>
      </c>
      <c r="G71" s="25">
        <v>1.4900000095367432</v>
      </c>
      <c r="H71" s="25">
        <v>1.5299999713897705</v>
      </c>
      <c r="I71" s="25">
        <v>1.5800000429153442</v>
      </c>
      <c r="J71" s="25">
        <v>1.6200000047683716</v>
      </c>
      <c r="K71" s="26">
        <v>1.6699999570846558</v>
      </c>
      <c r="M71" s="565">
        <v>20</v>
      </c>
      <c r="N71" s="24">
        <v>100</v>
      </c>
      <c r="O71" s="25">
        <v>1.1200000047683716</v>
      </c>
      <c r="P71" s="25">
        <v>1.1499999761581421</v>
      </c>
      <c r="Q71" s="25">
        <v>1.190000057220459</v>
      </c>
      <c r="R71" s="25">
        <v>1.2300000190734863</v>
      </c>
      <c r="S71" s="25">
        <v>1.2699999809265137</v>
      </c>
      <c r="T71" s="25">
        <v>1.309999942779541</v>
      </c>
      <c r="U71" s="25">
        <v>1.3500000238418579</v>
      </c>
      <c r="V71" s="26">
        <v>1.3999999761581421</v>
      </c>
    </row>
    <row r="72" spans="2:22">
      <c r="B72" s="566"/>
      <c r="C72" s="27">
        <v>110</v>
      </c>
      <c r="D72" s="28">
        <v>1.2300000190734863</v>
      </c>
      <c r="E72" s="28">
        <v>1.2699999809265137</v>
      </c>
      <c r="F72" s="28">
        <v>1.309999942779541</v>
      </c>
      <c r="G72" s="28">
        <v>1.3500000238418579</v>
      </c>
      <c r="H72" s="28">
        <v>1.3899999856948853</v>
      </c>
      <c r="I72" s="28">
        <v>1.440000057220459</v>
      </c>
      <c r="J72" s="28">
        <v>1.4800000190734863</v>
      </c>
      <c r="K72" s="29">
        <v>1.5299999713897705</v>
      </c>
      <c r="M72" s="566"/>
      <c r="N72" s="27">
        <v>110</v>
      </c>
      <c r="O72" s="28">
        <v>1.0099999904632568</v>
      </c>
      <c r="P72" s="28">
        <v>1.0399999618530273</v>
      </c>
      <c r="Q72" s="28">
        <v>1.0800000429153442</v>
      </c>
      <c r="R72" s="28">
        <v>1.1200000047683716</v>
      </c>
      <c r="S72" s="28">
        <v>1.1499999761581421</v>
      </c>
      <c r="T72" s="28">
        <v>1.190000057220459</v>
      </c>
      <c r="U72" s="28">
        <v>1.2300000190734863</v>
      </c>
      <c r="V72" s="29">
        <v>1.2699999809265137</v>
      </c>
    </row>
    <row r="73" spans="2:22">
      <c r="B73" s="566"/>
      <c r="C73" s="30">
        <v>120</v>
      </c>
      <c r="D73" s="31">
        <v>1.1200000047683716</v>
      </c>
      <c r="E73" s="31">
        <v>1.1499999761581421</v>
      </c>
      <c r="F73" s="31">
        <v>1.190000057220459</v>
      </c>
      <c r="G73" s="31">
        <v>1.2300000190734863</v>
      </c>
      <c r="H73" s="31">
        <v>1.2699999809265137</v>
      </c>
      <c r="I73" s="31">
        <v>1.309999942779541</v>
      </c>
      <c r="J73" s="31">
        <v>1.3500000238418579</v>
      </c>
      <c r="K73" s="32">
        <v>1.3999999761581421</v>
      </c>
      <c r="M73" s="566"/>
      <c r="N73" s="30">
        <v>120</v>
      </c>
      <c r="O73" s="31">
        <v>0.92000001668930054</v>
      </c>
      <c r="P73" s="31">
        <v>0.94999998807907104</v>
      </c>
      <c r="Q73" s="31">
        <v>0.98000001907348633</v>
      </c>
      <c r="R73" s="31">
        <v>1.0199999809265137</v>
      </c>
      <c r="S73" s="31">
        <v>1.0499999523162842</v>
      </c>
      <c r="T73" s="31">
        <v>1.0800000429153442</v>
      </c>
      <c r="U73" s="31">
        <v>1.1100000143051147</v>
      </c>
      <c r="V73" s="32">
        <v>1.1599999666213989</v>
      </c>
    </row>
    <row r="74" spans="2:22">
      <c r="B74" s="566"/>
      <c r="C74" s="27">
        <v>130</v>
      </c>
      <c r="D74" s="28">
        <v>1.0299999713897705</v>
      </c>
      <c r="E74" s="28">
        <v>1.059999942779541</v>
      </c>
      <c r="F74" s="28">
        <v>1.1000000238418579</v>
      </c>
      <c r="G74" s="28">
        <v>1.1299999952316284</v>
      </c>
      <c r="H74" s="28">
        <v>1.1699999570846558</v>
      </c>
      <c r="I74" s="28">
        <v>1.2100000381469727</v>
      </c>
      <c r="J74" s="28">
        <v>1.25</v>
      </c>
      <c r="K74" s="29">
        <v>1.2899999618530273</v>
      </c>
      <c r="M74" s="566"/>
      <c r="N74" s="27">
        <v>130</v>
      </c>
      <c r="O74" s="28">
        <v>0.82999998331069946</v>
      </c>
      <c r="P74" s="28">
        <v>0.87000000476837158</v>
      </c>
      <c r="Q74" s="28">
        <v>0.89999997615814209</v>
      </c>
      <c r="R74" s="28">
        <v>0.93000000715255737</v>
      </c>
      <c r="S74" s="28">
        <v>0.95999997854232788</v>
      </c>
      <c r="T74" s="28">
        <v>0.99000000953674316</v>
      </c>
      <c r="U74" s="28">
        <v>1.0199999809265137</v>
      </c>
      <c r="V74" s="29">
        <v>1.059999942779541</v>
      </c>
    </row>
    <row r="75" spans="2:22">
      <c r="B75" s="566"/>
      <c r="C75" s="30">
        <v>140</v>
      </c>
      <c r="D75" s="31">
        <v>0.94999998807907104</v>
      </c>
      <c r="E75" s="31">
        <v>0.98000001907348633</v>
      </c>
      <c r="F75" s="31">
        <v>1.0099999904632568</v>
      </c>
      <c r="G75" s="31">
        <v>1.0399999618530273</v>
      </c>
      <c r="H75" s="31">
        <v>1.0800000429153442</v>
      </c>
      <c r="I75" s="31">
        <v>1.1100000143051147</v>
      </c>
      <c r="J75" s="31">
        <v>1.1499999761581421</v>
      </c>
      <c r="K75" s="32">
        <v>1.190000057220459</v>
      </c>
      <c r="M75" s="566"/>
      <c r="N75" s="30">
        <v>140</v>
      </c>
      <c r="O75" s="31" t="s">
        <v>114</v>
      </c>
      <c r="P75" s="31" t="s">
        <v>114</v>
      </c>
      <c r="Q75" s="31">
        <v>0.81000000238418579</v>
      </c>
      <c r="R75" s="31">
        <v>0.86000001430511475</v>
      </c>
      <c r="S75" s="31">
        <v>0.88999998569488525</v>
      </c>
      <c r="T75" s="31">
        <v>0.92000001668930054</v>
      </c>
      <c r="U75" s="31">
        <v>0.94999998807907104</v>
      </c>
      <c r="V75" s="32">
        <v>0.98000001907348633</v>
      </c>
    </row>
    <row r="76" spans="2:22">
      <c r="B76" s="566"/>
      <c r="C76" s="27">
        <v>150</v>
      </c>
      <c r="D76" s="28">
        <v>0.86000001430511475</v>
      </c>
      <c r="E76" s="28">
        <v>0.89999997615814209</v>
      </c>
      <c r="F76" s="28">
        <v>0.93999999761581421</v>
      </c>
      <c r="G76" s="28">
        <v>0.97000002861022949</v>
      </c>
      <c r="H76" s="28">
        <v>1.0099999904632568</v>
      </c>
      <c r="I76" s="28">
        <v>1.0399999618530273</v>
      </c>
      <c r="J76" s="28">
        <v>1.0700000524520874</v>
      </c>
      <c r="K76" s="29">
        <v>1.1100000143051147</v>
      </c>
      <c r="M76" s="566"/>
      <c r="N76" s="27">
        <v>150</v>
      </c>
      <c r="O76" s="28" t="s">
        <v>114</v>
      </c>
      <c r="P76" s="37" t="s">
        <v>114</v>
      </c>
      <c r="Q76" s="28" t="s">
        <v>114</v>
      </c>
      <c r="R76" s="28" t="s">
        <v>114</v>
      </c>
      <c r="S76" s="28">
        <v>0.80000001192092896</v>
      </c>
      <c r="T76" s="28">
        <v>0.85000002384185791</v>
      </c>
      <c r="U76" s="28">
        <v>0.87999999523162842</v>
      </c>
      <c r="V76" s="29">
        <v>0.9100000262260437</v>
      </c>
    </row>
    <row r="77" spans="2:22">
      <c r="B77" s="566"/>
      <c r="C77" s="30">
        <v>160</v>
      </c>
      <c r="D77" s="31" t="s">
        <v>114</v>
      </c>
      <c r="E77" s="31">
        <v>0.80000001192092896</v>
      </c>
      <c r="F77" s="31">
        <v>0.8399999737739563</v>
      </c>
      <c r="G77" s="31">
        <v>0.89999997615814209</v>
      </c>
      <c r="H77" s="31">
        <v>0.93000000715255737</v>
      </c>
      <c r="I77" s="31">
        <v>0.95999997854232788</v>
      </c>
      <c r="J77" s="31">
        <v>1</v>
      </c>
      <c r="K77" s="32">
        <v>1.0399999618530273</v>
      </c>
      <c r="M77" s="566"/>
      <c r="N77" s="30">
        <v>160</v>
      </c>
      <c r="O77" s="31" t="s">
        <v>114</v>
      </c>
      <c r="P77" s="31" t="s">
        <v>114</v>
      </c>
      <c r="Q77" s="31" t="s">
        <v>114</v>
      </c>
      <c r="R77" s="31" t="s">
        <v>114</v>
      </c>
      <c r="S77" s="31" t="s">
        <v>114</v>
      </c>
      <c r="T77" s="31" t="s">
        <v>114</v>
      </c>
      <c r="U77" s="31">
        <v>0.80000001192092896</v>
      </c>
      <c r="V77" s="32">
        <v>0.85000002384185791</v>
      </c>
    </row>
    <row r="78" spans="2:22">
      <c r="B78" s="566"/>
      <c r="C78" s="27">
        <v>170</v>
      </c>
      <c r="D78" s="28" t="s">
        <v>114</v>
      </c>
      <c r="E78" s="28" t="s">
        <v>114</v>
      </c>
      <c r="F78" s="28" t="s">
        <v>114</v>
      </c>
      <c r="G78" s="28">
        <v>0.80000001192092896</v>
      </c>
      <c r="H78" s="28">
        <v>0.8399999737739563</v>
      </c>
      <c r="I78" s="28">
        <v>0.88999998569488525</v>
      </c>
      <c r="J78" s="28">
        <v>0.93000000715255737</v>
      </c>
      <c r="K78" s="29">
        <v>0.97000002861022949</v>
      </c>
      <c r="M78" s="566"/>
      <c r="N78" s="27">
        <v>170</v>
      </c>
      <c r="O78" s="28" t="s">
        <v>114</v>
      </c>
      <c r="P78" s="28" t="s">
        <v>114</v>
      </c>
      <c r="Q78" s="28" t="s">
        <v>114</v>
      </c>
      <c r="R78" s="28" t="s">
        <v>114</v>
      </c>
      <c r="S78" s="28" t="s">
        <v>114</v>
      </c>
      <c r="T78" s="28" t="s">
        <v>114</v>
      </c>
      <c r="U78" s="28" t="s">
        <v>114</v>
      </c>
      <c r="V78" s="29" t="s">
        <v>114</v>
      </c>
    </row>
    <row r="79" spans="2:22">
      <c r="B79" s="566"/>
      <c r="C79" s="30">
        <v>180</v>
      </c>
      <c r="D79" s="31" t="s">
        <v>114</v>
      </c>
      <c r="E79" s="31" t="s">
        <v>114</v>
      </c>
      <c r="F79" s="31" t="s">
        <v>114</v>
      </c>
      <c r="G79" s="31" t="s">
        <v>114</v>
      </c>
      <c r="H79" s="31" t="s">
        <v>114</v>
      </c>
      <c r="I79" s="31">
        <v>0.80000001192092896</v>
      </c>
      <c r="J79" s="31">
        <v>0.85000002384185791</v>
      </c>
      <c r="K79" s="32">
        <v>0.9100000262260437</v>
      </c>
      <c r="M79" s="566"/>
      <c r="N79" s="30">
        <v>180</v>
      </c>
      <c r="O79" s="31" t="s">
        <v>114</v>
      </c>
      <c r="P79" s="31" t="s">
        <v>114</v>
      </c>
      <c r="Q79" s="31" t="s">
        <v>114</v>
      </c>
      <c r="R79" s="31" t="s">
        <v>114</v>
      </c>
      <c r="S79" s="31" t="s">
        <v>114</v>
      </c>
      <c r="T79" s="31" t="s">
        <v>114</v>
      </c>
      <c r="U79" s="31" t="s">
        <v>114</v>
      </c>
      <c r="V79" s="32" t="s">
        <v>114</v>
      </c>
    </row>
    <row r="80" spans="2:22">
      <c r="B80" s="566"/>
      <c r="C80" s="27">
        <v>190</v>
      </c>
      <c r="D80" s="28" t="s">
        <v>114</v>
      </c>
      <c r="E80" s="28" t="s">
        <v>114</v>
      </c>
      <c r="F80" s="28" t="s">
        <v>114</v>
      </c>
      <c r="G80" s="28" t="s">
        <v>114</v>
      </c>
      <c r="H80" s="28" t="s">
        <v>114</v>
      </c>
      <c r="I80" s="28" t="s">
        <v>114</v>
      </c>
      <c r="J80" s="28" t="s">
        <v>114</v>
      </c>
      <c r="K80" s="29">
        <v>0.81999999284744263</v>
      </c>
      <c r="M80" s="566"/>
      <c r="N80" s="27">
        <v>190</v>
      </c>
      <c r="O80" s="28" t="s">
        <v>114</v>
      </c>
      <c r="P80" s="28" t="s">
        <v>114</v>
      </c>
      <c r="Q80" s="28" t="s">
        <v>114</v>
      </c>
      <c r="R80" s="28" t="s">
        <v>114</v>
      </c>
      <c r="S80" s="28" t="s">
        <v>114</v>
      </c>
      <c r="T80" s="28" t="s">
        <v>114</v>
      </c>
      <c r="U80" s="28" t="s">
        <v>114</v>
      </c>
      <c r="V80" s="29" t="s">
        <v>114</v>
      </c>
    </row>
    <row r="81" spans="2:22" ht="15" thickBot="1">
      <c r="B81" s="566"/>
      <c r="C81" s="33">
        <v>200</v>
      </c>
      <c r="D81" s="34" t="s">
        <v>114</v>
      </c>
      <c r="E81" s="34" t="s">
        <v>114</v>
      </c>
      <c r="F81" s="34" t="s">
        <v>114</v>
      </c>
      <c r="G81" s="35" t="s">
        <v>114</v>
      </c>
      <c r="H81" s="34" t="s">
        <v>114</v>
      </c>
      <c r="I81" s="34" t="s">
        <v>114</v>
      </c>
      <c r="J81" s="34" t="s">
        <v>114</v>
      </c>
      <c r="K81" s="36" t="s">
        <v>114</v>
      </c>
      <c r="M81" s="566"/>
      <c r="N81" s="33">
        <v>200</v>
      </c>
      <c r="O81" s="34" t="s">
        <v>114</v>
      </c>
      <c r="P81" s="34" t="s">
        <v>114</v>
      </c>
      <c r="Q81" s="34" t="s">
        <v>114</v>
      </c>
      <c r="R81" s="35" t="s">
        <v>114</v>
      </c>
      <c r="S81" s="34" t="s">
        <v>114</v>
      </c>
      <c r="T81" s="34" t="s">
        <v>114</v>
      </c>
      <c r="U81" s="34" t="s">
        <v>114</v>
      </c>
      <c r="V81" s="36" t="s">
        <v>114</v>
      </c>
    </row>
    <row r="82" spans="2:22" ht="15" thickBot="1"/>
    <row r="83" spans="2:22" ht="16" thickBot="1">
      <c r="B83" s="42" t="s">
        <v>196</v>
      </c>
      <c r="C83" s="43"/>
      <c r="D83" s="577" t="s">
        <v>462</v>
      </c>
      <c r="E83" s="577"/>
      <c r="F83" s="577"/>
      <c r="G83" s="577"/>
      <c r="H83" s="577"/>
      <c r="I83" s="577"/>
      <c r="J83" s="577"/>
      <c r="K83" s="578"/>
      <c r="M83" s="42" t="s">
        <v>196</v>
      </c>
      <c r="N83" s="43"/>
      <c r="O83" s="585" t="s">
        <v>462</v>
      </c>
      <c r="P83" s="577"/>
      <c r="Q83" s="577"/>
      <c r="R83" s="577"/>
      <c r="S83" s="577"/>
      <c r="T83" s="577"/>
      <c r="U83" s="577"/>
      <c r="V83" s="578"/>
    </row>
    <row r="84" spans="2:22" ht="15" customHeight="1">
      <c r="B84" s="565">
        <v>2</v>
      </c>
      <c r="C84" s="569" t="s">
        <v>463</v>
      </c>
      <c r="D84" s="579" t="s">
        <v>464</v>
      </c>
      <c r="E84" s="580"/>
      <c r="F84" s="580"/>
      <c r="G84" s="580"/>
      <c r="H84" s="580"/>
      <c r="I84" s="580"/>
      <c r="J84" s="580"/>
      <c r="K84" s="581"/>
      <c r="M84" s="565">
        <v>2</v>
      </c>
      <c r="N84" s="568" t="s">
        <v>463</v>
      </c>
      <c r="O84" s="571" t="s">
        <v>464</v>
      </c>
      <c r="P84" s="572"/>
      <c r="Q84" s="572"/>
      <c r="R84" s="572"/>
      <c r="S84" s="572"/>
      <c r="T84" s="572"/>
      <c r="U84" s="572"/>
      <c r="V84" s="573"/>
    </row>
    <row r="85" spans="2:22" ht="15" thickBot="1">
      <c r="B85" s="566"/>
      <c r="C85" s="569"/>
      <c r="D85" s="582"/>
      <c r="E85" s="583"/>
      <c r="F85" s="583"/>
      <c r="G85" s="583"/>
      <c r="H85" s="583"/>
      <c r="I85" s="583"/>
      <c r="J85" s="583"/>
      <c r="K85" s="584"/>
      <c r="M85" s="566"/>
      <c r="N85" s="569"/>
      <c r="O85" s="574"/>
      <c r="P85" s="575"/>
      <c r="Q85" s="575"/>
      <c r="R85" s="575"/>
      <c r="S85" s="575"/>
      <c r="T85" s="575"/>
      <c r="U85" s="575"/>
      <c r="V85" s="576"/>
    </row>
    <row r="86" spans="2:22" ht="15" thickBot="1">
      <c r="B86" s="567"/>
      <c r="C86" s="570"/>
      <c r="D86" s="22">
        <v>0</v>
      </c>
      <c r="E86" s="22">
        <v>500</v>
      </c>
      <c r="F86" s="22">
        <v>1000</v>
      </c>
      <c r="G86" s="22">
        <v>1500</v>
      </c>
      <c r="H86" s="22">
        <v>2000</v>
      </c>
      <c r="I86" s="22">
        <v>2500</v>
      </c>
      <c r="J86" s="22">
        <v>3000</v>
      </c>
      <c r="K86" s="23">
        <v>3500</v>
      </c>
      <c r="M86" s="567"/>
      <c r="N86" s="570"/>
      <c r="O86" s="22">
        <v>0</v>
      </c>
      <c r="P86" s="22">
        <v>500</v>
      </c>
      <c r="Q86" s="22">
        <v>1000</v>
      </c>
      <c r="R86" s="22">
        <v>1500</v>
      </c>
      <c r="S86" s="22">
        <v>2000</v>
      </c>
      <c r="T86" s="22">
        <v>2500</v>
      </c>
      <c r="U86" s="22">
        <v>3000</v>
      </c>
      <c r="V86" s="23">
        <v>3500</v>
      </c>
    </row>
    <row r="87" spans="2:22" ht="15" customHeight="1">
      <c r="B87" s="565">
        <v>15</v>
      </c>
      <c r="C87" s="24">
        <v>100</v>
      </c>
      <c r="D87" s="25">
        <v>1.5499999523162842</v>
      </c>
      <c r="E87" s="25">
        <v>1.58</v>
      </c>
      <c r="F87" s="25">
        <v>1.62</v>
      </c>
      <c r="G87" s="25">
        <v>1.66</v>
      </c>
      <c r="H87" s="25">
        <v>1.71</v>
      </c>
      <c r="I87" s="25">
        <v>1.75</v>
      </c>
      <c r="J87" s="25">
        <v>1.79</v>
      </c>
      <c r="K87" s="26">
        <v>1.8300000429153442</v>
      </c>
      <c r="M87" s="565">
        <v>20</v>
      </c>
      <c r="N87" s="24">
        <v>100</v>
      </c>
      <c r="O87" s="25">
        <v>1.2799999713897705</v>
      </c>
      <c r="P87" s="25">
        <v>1.32</v>
      </c>
      <c r="Q87" s="25">
        <v>1.37</v>
      </c>
      <c r="R87" s="25">
        <v>1.41</v>
      </c>
      <c r="S87" s="25">
        <v>1.46</v>
      </c>
      <c r="T87" s="25">
        <v>1.5</v>
      </c>
      <c r="U87" s="25">
        <v>1.55</v>
      </c>
      <c r="V87" s="26">
        <v>1.6000000238418579</v>
      </c>
    </row>
    <row r="88" spans="2:22">
      <c r="B88" s="566"/>
      <c r="C88" s="27">
        <v>110</v>
      </c>
      <c r="D88" s="28">
        <v>1.4099999666213989</v>
      </c>
      <c r="E88" s="28">
        <v>1.45</v>
      </c>
      <c r="F88" s="28">
        <v>1.49</v>
      </c>
      <c r="G88" s="28">
        <v>1.53</v>
      </c>
      <c r="H88" s="28">
        <v>1.58</v>
      </c>
      <c r="I88" s="28">
        <v>1.62</v>
      </c>
      <c r="J88" s="28">
        <v>1.66</v>
      </c>
      <c r="K88" s="29">
        <v>1.7100000381469727</v>
      </c>
      <c r="M88" s="566"/>
      <c r="N88" s="27">
        <v>110</v>
      </c>
      <c r="O88" s="28">
        <v>1.1599999666213989</v>
      </c>
      <c r="P88" s="28">
        <v>1.2</v>
      </c>
      <c r="Q88" s="28">
        <v>1.24</v>
      </c>
      <c r="R88" s="28">
        <v>1.28</v>
      </c>
      <c r="S88" s="28">
        <v>1.33</v>
      </c>
      <c r="T88" s="28">
        <v>1.37</v>
      </c>
      <c r="U88" s="28">
        <v>1.41</v>
      </c>
      <c r="V88" s="29">
        <v>1.4600000381469727</v>
      </c>
    </row>
    <row r="89" spans="2:22">
      <c r="B89" s="566"/>
      <c r="C89" s="30">
        <v>120</v>
      </c>
      <c r="D89" s="31">
        <v>1.2799999713897705</v>
      </c>
      <c r="E89" s="31">
        <v>1.32</v>
      </c>
      <c r="F89" s="31">
        <v>1.37</v>
      </c>
      <c r="G89" s="31">
        <v>1.41</v>
      </c>
      <c r="H89" s="31">
        <v>1.46</v>
      </c>
      <c r="I89" s="31">
        <v>1.5</v>
      </c>
      <c r="J89" s="31">
        <v>1.55</v>
      </c>
      <c r="K89" s="32">
        <v>1.6000000238418579</v>
      </c>
      <c r="M89" s="566"/>
      <c r="N89" s="30">
        <v>120</v>
      </c>
      <c r="O89" s="31">
        <v>1.059999942779541</v>
      </c>
      <c r="P89" s="31">
        <v>1.0900000000000001</v>
      </c>
      <c r="Q89" s="31">
        <v>1.1299999999999999</v>
      </c>
      <c r="R89" s="31">
        <v>1.17</v>
      </c>
      <c r="S89" s="31">
        <v>1.21</v>
      </c>
      <c r="T89" s="31">
        <v>1.25</v>
      </c>
      <c r="U89" s="31">
        <v>1.29</v>
      </c>
      <c r="V89" s="32">
        <v>1.3300000429153442</v>
      </c>
    </row>
    <row r="90" spans="2:22">
      <c r="B90" s="566"/>
      <c r="C90" s="27">
        <v>130</v>
      </c>
      <c r="D90" s="28">
        <v>1.1699999570846558</v>
      </c>
      <c r="E90" s="28">
        <v>1.21</v>
      </c>
      <c r="F90" s="28">
        <v>1.25</v>
      </c>
      <c r="G90" s="28">
        <v>1.3</v>
      </c>
      <c r="H90" s="28">
        <v>1.34</v>
      </c>
      <c r="I90" s="28">
        <v>1.39</v>
      </c>
      <c r="J90" s="28">
        <v>1.43</v>
      </c>
      <c r="K90" s="29">
        <v>1.4800000190734863</v>
      </c>
      <c r="M90" s="566"/>
      <c r="N90" s="27">
        <v>130</v>
      </c>
      <c r="O90" s="28">
        <v>0.97000002861022949</v>
      </c>
      <c r="P90" s="28">
        <v>1</v>
      </c>
      <c r="Q90" s="28">
        <v>1.04</v>
      </c>
      <c r="R90" s="28">
        <v>1.07</v>
      </c>
      <c r="S90" s="28">
        <v>1.1100000000000001</v>
      </c>
      <c r="T90" s="28">
        <v>1.1399999999999999</v>
      </c>
      <c r="U90" s="28">
        <v>1.18</v>
      </c>
      <c r="V90" s="29">
        <v>1.2200000286102295</v>
      </c>
    </row>
    <row r="91" spans="2:22">
      <c r="B91" s="566"/>
      <c r="C91" s="30">
        <v>140</v>
      </c>
      <c r="D91" s="31">
        <v>1.0900000333786011</v>
      </c>
      <c r="E91" s="31">
        <v>1.1299999999999999</v>
      </c>
      <c r="F91" s="31">
        <v>1.17</v>
      </c>
      <c r="G91" s="31">
        <v>1.21</v>
      </c>
      <c r="H91" s="31">
        <v>1.25</v>
      </c>
      <c r="I91" s="31">
        <v>1.29</v>
      </c>
      <c r="J91" s="31">
        <v>1.33</v>
      </c>
      <c r="K91" s="32">
        <v>1.3700000047683716</v>
      </c>
      <c r="M91" s="566"/>
      <c r="N91" s="30">
        <v>140</v>
      </c>
      <c r="O91" s="31">
        <v>0.89999997615814209</v>
      </c>
      <c r="P91" s="31">
        <v>0.93</v>
      </c>
      <c r="Q91" s="31">
        <v>0.96</v>
      </c>
      <c r="R91" s="31">
        <v>0.99</v>
      </c>
      <c r="S91" s="31">
        <v>1.02</v>
      </c>
      <c r="T91" s="31">
        <v>1.05</v>
      </c>
      <c r="U91" s="31">
        <v>1.08</v>
      </c>
      <c r="V91" s="32">
        <v>1.1200000047683716</v>
      </c>
    </row>
    <row r="92" spans="2:22">
      <c r="B92" s="566"/>
      <c r="C92" s="27">
        <v>150</v>
      </c>
      <c r="D92" s="28">
        <v>1.0099999904632568</v>
      </c>
      <c r="E92" s="28">
        <v>1.04</v>
      </c>
      <c r="F92" s="28">
        <v>1.08</v>
      </c>
      <c r="G92" s="28">
        <v>1.1200000000000001</v>
      </c>
      <c r="H92" s="28">
        <v>1.1499999999999999</v>
      </c>
      <c r="I92" s="28">
        <v>1.19</v>
      </c>
      <c r="J92" s="28">
        <v>1.23</v>
      </c>
      <c r="K92" s="29">
        <v>1.2699999809265137</v>
      </c>
      <c r="M92" s="566"/>
      <c r="N92" s="27">
        <v>150</v>
      </c>
      <c r="O92" s="28">
        <v>0.81999999284744263</v>
      </c>
      <c r="P92" s="28">
        <v>0.85</v>
      </c>
      <c r="Q92" s="28">
        <v>0.88</v>
      </c>
      <c r="R92" s="28">
        <v>0.91</v>
      </c>
      <c r="S92" s="28">
        <v>0.95</v>
      </c>
      <c r="T92" s="28">
        <v>0.98</v>
      </c>
      <c r="U92" s="28">
        <v>1.01</v>
      </c>
      <c r="V92" s="29">
        <v>1.0499999523162842</v>
      </c>
    </row>
    <row r="93" spans="2:22">
      <c r="B93" s="566"/>
      <c r="C93" s="30">
        <v>160</v>
      </c>
      <c r="D93" s="31">
        <v>0.94999998807907104</v>
      </c>
      <c r="E93" s="31">
        <v>0.98</v>
      </c>
      <c r="F93" s="31">
        <v>1.01</v>
      </c>
      <c r="G93" s="31">
        <v>1.04</v>
      </c>
      <c r="H93" s="31">
        <v>1.08</v>
      </c>
      <c r="I93" s="31">
        <v>1.1100000000000001</v>
      </c>
      <c r="J93" s="31">
        <v>1.1399999999999999</v>
      </c>
      <c r="K93" s="32">
        <v>1.1799999475479126</v>
      </c>
      <c r="M93" s="566"/>
      <c r="N93" s="30">
        <v>160</v>
      </c>
      <c r="O93" s="31" t="s">
        <v>114</v>
      </c>
      <c r="P93" s="31" t="s">
        <v>114</v>
      </c>
      <c r="Q93" s="31">
        <v>0.80000001192092896</v>
      </c>
      <c r="R93" s="31">
        <v>0.85000002384185791</v>
      </c>
      <c r="S93" s="31">
        <v>0.87999999523162842</v>
      </c>
      <c r="T93" s="31">
        <v>0.89999997615814209</v>
      </c>
      <c r="U93" s="31">
        <v>0.93999999761581421</v>
      </c>
      <c r="V93" s="32">
        <v>0.98000001907348633</v>
      </c>
    </row>
    <row r="94" spans="2:22">
      <c r="B94" s="566"/>
      <c r="C94" s="27">
        <v>170</v>
      </c>
      <c r="D94" s="28">
        <v>0.87000000476837158</v>
      </c>
      <c r="E94" s="28">
        <v>0.9</v>
      </c>
      <c r="F94" s="28">
        <v>0.93</v>
      </c>
      <c r="G94" s="28">
        <v>0.97</v>
      </c>
      <c r="H94" s="28">
        <v>1</v>
      </c>
      <c r="I94" s="28">
        <v>1.04</v>
      </c>
      <c r="J94" s="28">
        <v>1.07</v>
      </c>
      <c r="K94" s="29">
        <v>1.1100000143051147</v>
      </c>
      <c r="M94" s="566"/>
      <c r="N94" s="27">
        <v>170</v>
      </c>
      <c r="O94" s="28" t="s">
        <v>114</v>
      </c>
      <c r="P94" s="28" t="s">
        <v>114</v>
      </c>
      <c r="Q94" s="28" t="s">
        <v>114</v>
      </c>
      <c r="R94" s="28" t="s">
        <v>114</v>
      </c>
      <c r="S94" s="28">
        <v>0.80000001192092896</v>
      </c>
      <c r="T94" s="28">
        <v>0.85000002384185791</v>
      </c>
      <c r="U94" s="28">
        <v>0.87999999523162842</v>
      </c>
      <c r="V94" s="29">
        <v>0.92000001668930054</v>
      </c>
    </row>
    <row r="95" spans="2:22">
      <c r="B95" s="566"/>
      <c r="C95" s="30">
        <v>180</v>
      </c>
      <c r="D95" s="31" t="s">
        <v>114</v>
      </c>
      <c r="E95" s="31">
        <v>0.81000000238418579</v>
      </c>
      <c r="F95" s="31">
        <v>0.86000001430511475</v>
      </c>
      <c r="G95" s="31">
        <v>0.92000001668930054</v>
      </c>
      <c r="H95" s="31">
        <v>0.93999999761581421</v>
      </c>
      <c r="I95" s="31">
        <v>0.98000001907348633</v>
      </c>
      <c r="J95" s="31">
        <v>1.0099999904632568</v>
      </c>
      <c r="K95" s="32">
        <v>1.0399999618530273</v>
      </c>
      <c r="M95" s="566"/>
      <c r="N95" s="30">
        <v>180</v>
      </c>
      <c r="O95" s="31" t="s">
        <v>114</v>
      </c>
      <c r="P95" s="31" t="s">
        <v>114</v>
      </c>
      <c r="Q95" s="31" t="s">
        <v>114</v>
      </c>
      <c r="R95" s="31" t="s">
        <v>114</v>
      </c>
      <c r="S95" s="31" t="s">
        <v>114</v>
      </c>
      <c r="T95" s="31" t="s">
        <v>114</v>
      </c>
      <c r="U95" s="31">
        <v>0.81000000238418579</v>
      </c>
      <c r="V95" s="32">
        <v>0.86000001430511475</v>
      </c>
    </row>
    <row r="96" spans="2:22">
      <c r="B96" s="566"/>
      <c r="C96" s="27">
        <v>190</v>
      </c>
      <c r="D96" s="28" t="s">
        <v>114</v>
      </c>
      <c r="E96" s="28" t="s">
        <v>114</v>
      </c>
      <c r="F96" s="28" t="s">
        <v>114</v>
      </c>
      <c r="G96" s="28">
        <v>0.81999999284744263</v>
      </c>
      <c r="H96" s="28">
        <v>0.87000000476837158</v>
      </c>
      <c r="I96" s="28">
        <v>0.92000001668930054</v>
      </c>
      <c r="J96" s="28">
        <v>0.94999998807907104</v>
      </c>
      <c r="K96" s="29">
        <v>0.99000000953674316</v>
      </c>
      <c r="M96" s="566"/>
      <c r="N96" s="27">
        <v>190</v>
      </c>
      <c r="O96" s="28" t="s">
        <v>114</v>
      </c>
      <c r="P96" s="28" t="s">
        <v>114</v>
      </c>
      <c r="Q96" s="28" t="s">
        <v>114</v>
      </c>
      <c r="R96" s="28" t="s">
        <v>114</v>
      </c>
      <c r="S96" s="28" t="s">
        <v>114</v>
      </c>
      <c r="T96" s="28" t="s">
        <v>114</v>
      </c>
      <c r="U96" s="28" t="s">
        <v>114</v>
      </c>
      <c r="V96" s="29" t="s">
        <v>114</v>
      </c>
    </row>
    <row r="97" spans="2:22" ht="15" thickBot="1">
      <c r="B97" s="566"/>
      <c r="C97" s="33">
        <v>200</v>
      </c>
      <c r="D97" s="34" t="s">
        <v>114</v>
      </c>
      <c r="E97" s="34" t="s">
        <v>114</v>
      </c>
      <c r="F97" s="34" t="s">
        <v>114</v>
      </c>
      <c r="G97" s="35" t="s">
        <v>114</v>
      </c>
      <c r="H97" s="34" t="s">
        <v>114</v>
      </c>
      <c r="I97" s="34">
        <v>0.82999998331069946</v>
      </c>
      <c r="J97" s="34">
        <v>0.88999998569488525</v>
      </c>
      <c r="K97" s="36">
        <v>0.93999999761581421</v>
      </c>
      <c r="M97" s="566"/>
      <c r="N97" s="33">
        <v>200</v>
      </c>
      <c r="O97" s="34" t="s">
        <v>114</v>
      </c>
      <c r="P97" s="38" t="s">
        <v>114</v>
      </c>
      <c r="Q97" s="34" t="s">
        <v>114</v>
      </c>
      <c r="R97" s="35" t="s">
        <v>114</v>
      </c>
      <c r="S97" s="34" t="s">
        <v>114</v>
      </c>
      <c r="T97" s="34" t="s">
        <v>114</v>
      </c>
      <c r="U97" s="34" t="s">
        <v>114</v>
      </c>
      <c r="V97" s="36" t="s">
        <v>114</v>
      </c>
    </row>
    <row r="98" spans="2:22" ht="15" thickBot="1"/>
    <row r="99" spans="2:22" ht="16" thickBot="1">
      <c r="B99" s="42" t="s">
        <v>196</v>
      </c>
      <c r="C99" s="43"/>
      <c r="D99" s="577" t="s">
        <v>462</v>
      </c>
      <c r="E99" s="577"/>
      <c r="F99" s="577"/>
      <c r="G99" s="577"/>
      <c r="H99" s="577"/>
      <c r="I99" s="577"/>
      <c r="J99" s="577"/>
      <c r="K99" s="578"/>
      <c r="M99" s="42" t="s">
        <v>196</v>
      </c>
      <c r="N99" s="43"/>
      <c r="O99" s="577" t="s">
        <v>462</v>
      </c>
      <c r="P99" s="577"/>
      <c r="Q99" s="577"/>
      <c r="R99" s="577"/>
      <c r="S99" s="577"/>
      <c r="T99" s="577"/>
      <c r="U99" s="577"/>
      <c r="V99" s="578"/>
    </row>
    <row r="100" spans="2:22" ht="15" customHeight="1">
      <c r="B100" s="565">
        <v>3</v>
      </c>
      <c r="C100" s="569" t="s">
        <v>463</v>
      </c>
      <c r="D100" s="579" t="s">
        <v>464</v>
      </c>
      <c r="E100" s="580"/>
      <c r="F100" s="580"/>
      <c r="G100" s="580"/>
      <c r="H100" s="580"/>
      <c r="I100" s="580"/>
      <c r="J100" s="580"/>
      <c r="K100" s="581"/>
      <c r="M100" s="565">
        <v>3</v>
      </c>
      <c r="N100" s="569" t="s">
        <v>463</v>
      </c>
      <c r="O100" s="579" t="s">
        <v>464</v>
      </c>
      <c r="P100" s="580"/>
      <c r="Q100" s="580"/>
      <c r="R100" s="580"/>
      <c r="S100" s="580"/>
      <c r="T100" s="580"/>
      <c r="U100" s="580"/>
      <c r="V100" s="581"/>
    </row>
    <row r="101" spans="2:22" ht="15" thickBot="1">
      <c r="B101" s="566"/>
      <c r="C101" s="569"/>
      <c r="D101" s="582"/>
      <c r="E101" s="583"/>
      <c r="F101" s="583"/>
      <c r="G101" s="583"/>
      <c r="H101" s="583"/>
      <c r="I101" s="583"/>
      <c r="J101" s="583"/>
      <c r="K101" s="584"/>
      <c r="M101" s="566"/>
      <c r="N101" s="569"/>
      <c r="O101" s="582"/>
      <c r="P101" s="583"/>
      <c r="Q101" s="583"/>
      <c r="R101" s="583"/>
      <c r="S101" s="583"/>
      <c r="T101" s="583"/>
      <c r="U101" s="583"/>
      <c r="V101" s="584"/>
    </row>
    <row r="102" spans="2:22" ht="15" thickBot="1">
      <c r="B102" s="567"/>
      <c r="C102" s="570"/>
      <c r="D102" s="22">
        <v>0</v>
      </c>
      <c r="E102" s="22">
        <v>500</v>
      </c>
      <c r="F102" s="22">
        <v>1000</v>
      </c>
      <c r="G102" s="22">
        <v>1500</v>
      </c>
      <c r="H102" s="22">
        <v>2000</v>
      </c>
      <c r="I102" s="22">
        <v>2500</v>
      </c>
      <c r="J102" s="22">
        <v>3000</v>
      </c>
      <c r="K102" s="23">
        <v>3500</v>
      </c>
      <c r="M102" s="567"/>
      <c r="N102" s="570"/>
      <c r="O102" s="22">
        <v>0</v>
      </c>
      <c r="P102" s="22">
        <v>500</v>
      </c>
      <c r="Q102" s="22">
        <v>1000</v>
      </c>
      <c r="R102" s="22">
        <v>1500</v>
      </c>
      <c r="S102" s="22">
        <v>2000</v>
      </c>
      <c r="T102" s="22">
        <v>2500</v>
      </c>
      <c r="U102" s="22">
        <v>3000</v>
      </c>
      <c r="V102" s="23">
        <v>3500</v>
      </c>
    </row>
    <row r="103" spans="2:22" ht="15" customHeight="1">
      <c r="B103" s="565">
        <v>15</v>
      </c>
      <c r="C103" s="24">
        <v>100</v>
      </c>
      <c r="D103" s="25">
        <v>1.7200000286102295</v>
      </c>
      <c r="E103" s="25">
        <v>1.75</v>
      </c>
      <c r="F103" s="25">
        <v>1.79</v>
      </c>
      <c r="G103" s="25">
        <v>1.82</v>
      </c>
      <c r="H103" s="25">
        <v>1.86</v>
      </c>
      <c r="I103" s="25">
        <v>1.89</v>
      </c>
      <c r="J103" s="25">
        <v>1.93</v>
      </c>
      <c r="K103" s="26">
        <v>1.9700000286102295</v>
      </c>
      <c r="M103" s="565">
        <v>20</v>
      </c>
      <c r="N103" s="24">
        <v>100</v>
      </c>
      <c r="O103" s="25">
        <v>1.4700000286102295</v>
      </c>
      <c r="P103" s="25">
        <v>1.51</v>
      </c>
      <c r="Q103" s="25">
        <v>1.56</v>
      </c>
      <c r="R103" s="25">
        <v>1.6</v>
      </c>
      <c r="S103" s="25">
        <v>1.65</v>
      </c>
      <c r="T103" s="25">
        <v>1.69</v>
      </c>
      <c r="U103" s="25">
        <v>1.74</v>
      </c>
      <c r="V103" s="26">
        <v>1.7899999618530273</v>
      </c>
    </row>
    <row r="104" spans="2:22">
      <c r="B104" s="566"/>
      <c r="C104" s="27">
        <v>110</v>
      </c>
      <c r="D104" s="28">
        <v>1.6100000143051147</v>
      </c>
      <c r="E104" s="28">
        <v>1.64</v>
      </c>
      <c r="F104" s="28">
        <v>1.68</v>
      </c>
      <c r="G104" s="28">
        <v>1.72</v>
      </c>
      <c r="H104" s="28">
        <v>1.75</v>
      </c>
      <c r="I104" s="28">
        <v>1.79</v>
      </c>
      <c r="J104" s="28">
        <v>1.83</v>
      </c>
      <c r="K104" s="29">
        <v>1.8700000047683716</v>
      </c>
      <c r="M104" s="566"/>
      <c r="N104" s="27">
        <v>110</v>
      </c>
      <c r="O104" s="28">
        <v>1.3300000429153442</v>
      </c>
      <c r="P104" s="28">
        <v>1.37</v>
      </c>
      <c r="Q104" s="28">
        <v>1.42</v>
      </c>
      <c r="R104" s="28">
        <v>1.47</v>
      </c>
      <c r="S104" s="28">
        <v>1.52</v>
      </c>
      <c r="T104" s="28">
        <v>1.57</v>
      </c>
      <c r="U104" s="28">
        <v>1.62</v>
      </c>
      <c r="V104" s="29">
        <v>1.6699999570846558</v>
      </c>
    </row>
    <row r="105" spans="2:22">
      <c r="B105" s="566"/>
      <c r="C105" s="30">
        <v>120</v>
      </c>
      <c r="D105" s="31">
        <v>1.4700000286102295</v>
      </c>
      <c r="E105" s="31">
        <v>1.51</v>
      </c>
      <c r="F105" s="31">
        <v>1.55</v>
      </c>
      <c r="G105" s="31">
        <v>1.59</v>
      </c>
      <c r="H105" s="31">
        <v>1.64</v>
      </c>
      <c r="I105" s="31">
        <v>1.68</v>
      </c>
      <c r="J105" s="31">
        <v>1.72</v>
      </c>
      <c r="K105" s="32">
        <v>1.7699999809265137</v>
      </c>
      <c r="M105" s="566"/>
      <c r="N105" s="30">
        <v>120</v>
      </c>
      <c r="O105" s="31">
        <v>1.2100000381469727</v>
      </c>
      <c r="P105" s="31">
        <v>1.25</v>
      </c>
      <c r="Q105" s="31">
        <v>1.29</v>
      </c>
      <c r="R105" s="31">
        <v>1.34</v>
      </c>
      <c r="S105" s="31">
        <v>1.38</v>
      </c>
      <c r="T105" s="31">
        <v>1.43</v>
      </c>
      <c r="U105" s="31">
        <v>1.47</v>
      </c>
      <c r="V105" s="32">
        <v>1.5199999809265137</v>
      </c>
    </row>
    <row r="106" spans="2:22">
      <c r="B106" s="566"/>
      <c r="C106" s="27">
        <v>130</v>
      </c>
      <c r="D106" s="28">
        <v>1.3500000238418579</v>
      </c>
      <c r="E106" s="28">
        <v>1.39</v>
      </c>
      <c r="F106" s="28">
        <v>1.44</v>
      </c>
      <c r="G106" s="28">
        <v>1.48</v>
      </c>
      <c r="H106" s="28">
        <v>1.53</v>
      </c>
      <c r="I106" s="28">
        <v>1.57</v>
      </c>
      <c r="J106" s="28">
        <v>1.62</v>
      </c>
      <c r="K106" s="29">
        <v>1.6699999570846558</v>
      </c>
      <c r="M106" s="566"/>
      <c r="N106" s="27">
        <v>130</v>
      </c>
      <c r="O106" s="28">
        <v>1.1100000143051147</v>
      </c>
      <c r="P106" s="28">
        <v>1.1499999999999999</v>
      </c>
      <c r="Q106" s="28">
        <v>1.19</v>
      </c>
      <c r="R106" s="28">
        <v>1.23</v>
      </c>
      <c r="S106" s="28">
        <v>1.27</v>
      </c>
      <c r="T106" s="28">
        <v>1.31</v>
      </c>
      <c r="U106" s="28">
        <v>1.35</v>
      </c>
      <c r="V106" s="29">
        <v>1.3999999761581421</v>
      </c>
    </row>
    <row r="107" spans="2:22">
      <c r="B107" s="566"/>
      <c r="C107" s="30">
        <v>140</v>
      </c>
      <c r="D107" s="31">
        <v>1.25</v>
      </c>
      <c r="E107" s="31">
        <v>1.29</v>
      </c>
      <c r="F107" s="31">
        <v>1.34</v>
      </c>
      <c r="G107" s="31">
        <v>1.38</v>
      </c>
      <c r="H107" s="31">
        <v>1.43</v>
      </c>
      <c r="I107" s="31">
        <v>1.47</v>
      </c>
      <c r="J107" s="31">
        <v>1.52</v>
      </c>
      <c r="K107" s="32">
        <v>1.5700000524520874</v>
      </c>
      <c r="M107" s="566"/>
      <c r="N107" s="30">
        <v>140</v>
      </c>
      <c r="O107" s="31">
        <v>1.0299999713897705</v>
      </c>
      <c r="P107" s="31">
        <v>1.06</v>
      </c>
      <c r="Q107" s="31">
        <v>1.1000000000000001</v>
      </c>
      <c r="R107" s="31">
        <v>1.1399999999999999</v>
      </c>
      <c r="S107" s="31">
        <v>1.17</v>
      </c>
      <c r="T107" s="31">
        <v>1.21</v>
      </c>
      <c r="U107" s="31">
        <v>1.25</v>
      </c>
      <c r="V107" s="32">
        <v>1.2899999618530273</v>
      </c>
    </row>
    <row r="108" spans="2:22">
      <c r="B108" s="566"/>
      <c r="C108" s="27">
        <v>150</v>
      </c>
      <c r="D108" s="28">
        <v>1.1599999666213989</v>
      </c>
      <c r="E108" s="28">
        <v>1.2</v>
      </c>
      <c r="F108" s="28">
        <v>1.24</v>
      </c>
      <c r="G108" s="28">
        <v>1.28</v>
      </c>
      <c r="H108" s="28">
        <v>1.33</v>
      </c>
      <c r="I108" s="28">
        <v>1.37</v>
      </c>
      <c r="J108" s="28">
        <v>1.41</v>
      </c>
      <c r="K108" s="29">
        <v>1.4600000381469727</v>
      </c>
      <c r="M108" s="566"/>
      <c r="N108" s="27">
        <v>150</v>
      </c>
      <c r="O108" s="28">
        <v>0.94999998807907104</v>
      </c>
      <c r="P108" s="28">
        <v>0.98</v>
      </c>
      <c r="Q108" s="28">
        <v>1.02</v>
      </c>
      <c r="R108" s="28">
        <v>1.05</v>
      </c>
      <c r="S108" s="28">
        <v>1.0900000000000001</v>
      </c>
      <c r="T108" s="28">
        <v>1.1200000000000001</v>
      </c>
      <c r="U108" s="28">
        <v>1.1599999999999999</v>
      </c>
      <c r="V108" s="29">
        <v>1.2000000476837158</v>
      </c>
    </row>
    <row r="109" spans="2:22">
      <c r="B109" s="566"/>
      <c r="C109" s="30">
        <v>160</v>
      </c>
      <c r="D109" s="31">
        <v>1.0800000429153442</v>
      </c>
      <c r="E109" s="31">
        <v>1.1200000000000001</v>
      </c>
      <c r="F109" s="31">
        <v>1.1599999999999999</v>
      </c>
      <c r="G109" s="31">
        <v>1.2</v>
      </c>
      <c r="H109" s="31">
        <v>1.24</v>
      </c>
      <c r="I109" s="31">
        <v>1.28</v>
      </c>
      <c r="J109" s="31">
        <v>1.32</v>
      </c>
      <c r="K109" s="32">
        <v>1.3600000143051147</v>
      </c>
      <c r="M109" s="566"/>
      <c r="N109" s="30">
        <v>160</v>
      </c>
      <c r="O109" s="31">
        <v>0.88999998569488525</v>
      </c>
      <c r="P109" s="31">
        <v>0.92</v>
      </c>
      <c r="Q109" s="31">
        <v>0.95</v>
      </c>
      <c r="R109" s="31">
        <v>0.98</v>
      </c>
      <c r="S109" s="31">
        <v>1.02</v>
      </c>
      <c r="T109" s="31">
        <v>1.05</v>
      </c>
      <c r="U109" s="31">
        <v>1.08</v>
      </c>
      <c r="V109" s="32">
        <v>1.1200000047683716</v>
      </c>
    </row>
    <row r="110" spans="2:22">
      <c r="B110" s="566"/>
      <c r="C110" s="27">
        <v>170</v>
      </c>
      <c r="D110" s="28">
        <v>1.0099999904632568</v>
      </c>
      <c r="E110" s="28">
        <v>1.04</v>
      </c>
      <c r="F110" s="28">
        <v>1.08</v>
      </c>
      <c r="G110" s="28">
        <v>1.1200000000000001</v>
      </c>
      <c r="H110" s="28">
        <v>1.1499999999999999</v>
      </c>
      <c r="I110" s="28">
        <v>1.19</v>
      </c>
      <c r="J110" s="28">
        <v>1.23</v>
      </c>
      <c r="K110" s="29">
        <v>1.2699999809265137</v>
      </c>
      <c r="M110" s="566"/>
      <c r="N110" s="27">
        <v>170</v>
      </c>
      <c r="O110" s="28">
        <v>0.81999999284744263</v>
      </c>
      <c r="P110" s="28">
        <v>0.85</v>
      </c>
      <c r="Q110" s="28">
        <v>0.88</v>
      </c>
      <c r="R110" s="28">
        <v>0.91</v>
      </c>
      <c r="S110" s="28">
        <v>0.95</v>
      </c>
      <c r="T110" s="28">
        <v>0.98</v>
      </c>
      <c r="U110" s="28">
        <v>1.01</v>
      </c>
      <c r="V110" s="29">
        <v>1.0499999523162842</v>
      </c>
    </row>
    <row r="111" spans="2:22">
      <c r="B111" s="566"/>
      <c r="C111" s="30">
        <v>180</v>
      </c>
      <c r="D111" s="31">
        <v>0.94999998807907104</v>
      </c>
      <c r="E111" s="31">
        <v>0.98</v>
      </c>
      <c r="F111" s="31">
        <v>1.01</v>
      </c>
      <c r="G111" s="31">
        <v>1.05</v>
      </c>
      <c r="H111" s="31">
        <v>1.08</v>
      </c>
      <c r="I111" s="31">
        <v>1.1200000000000001</v>
      </c>
      <c r="J111" s="31">
        <v>1.1499999999999999</v>
      </c>
      <c r="K111" s="32">
        <v>1.190000057220459</v>
      </c>
      <c r="M111" s="566"/>
      <c r="N111" s="30">
        <v>180</v>
      </c>
      <c r="O111" s="31" t="s">
        <v>114</v>
      </c>
      <c r="P111" s="31" t="s">
        <v>114</v>
      </c>
      <c r="Q111" s="31">
        <v>0.81999999284744263</v>
      </c>
      <c r="R111" s="31">
        <v>0.86000001430511475</v>
      </c>
      <c r="S111" s="31">
        <v>0.88999998569488525</v>
      </c>
      <c r="T111" s="31">
        <v>0.92000001668930054</v>
      </c>
      <c r="U111" s="31">
        <v>0.94999998807907104</v>
      </c>
      <c r="V111" s="32">
        <v>0.99000000953674316</v>
      </c>
    </row>
    <row r="112" spans="2:22">
      <c r="B112" s="566"/>
      <c r="C112" s="27">
        <v>190</v>
      </c>
      <c r="D112" s="28">
        <v>0.88999998569488525</v>
      </c>
      <c r="E112" s="28">
        <v>0.92</v>
      </c>
      <c r="F112" s="28">
        <v>0.95</v>
      </c>
      <c r="G112" s="28">
        <v>0.99</v>
      </c>
      <c r="H112" s="28">
        <v>1.02</v>
      </c>
      <c r="I112" s="28">
        <v>1.06</v>
      </c>
      <c r="J112" s="28">
        <v>1.0900000000000001</v>
      </c>
      <c r="K112" s="29">
        <v>1.1299999952316284</v>
      </c>
      <c r="M112" s="566"/>
      <c r="N112" s="27">
        <v>190</v>
      </c>
      <c r="O112" s="28" t="s">
        <v>114</v>
      </c>
      <c r="P112" s="28" t="s">
        <v>114</v>
      </c>
      <c r="Q112" s="28" t="s">
        <v>114</v>
      </c>
      <c r="R112" s="28" t="s">
        <v>114</v>
      </c>
      <c r="S112" s="28">
        <v>0.81999999284744263</v>
      </c>
      <c r="T112" s="28">
        <v>0.87000000476837158</v>
      </c>
      <c r="U112" s="28">
        <v>0.89999997615814209</v>
      </c>
      <c r="V112" s="29">
        <v>0.93000000715255737</v>
      </c>
    </row>
    <row r="113" spans="2:22" ht="15" thickBot="1">
      <c r="B113" s="566"/>
      <c r="C113" s="33">
        <v>200</v>
      </c>
      <c r="D113" s="34">
        <v>0.81000000238418579</v>
      </c>
      <c r="E113" s="34">
        <v>0.84</v>
      </c>
      <c r="F113" s="34">
        <v>0.88</v>
      </c>
      <c r="G113" s="35">
        <v>0.92</v>
      </c>
      <c r="H113" s="34">
        <v>0.95</v>
      </c>
      <c r="I113" s="34">
        <v>0.99</v>
      </c>
      <c r="J113" s="34">
        <v>1.03</v>
      </c>
      <c r="K113" s="36">
        <v>1.0700000524520874</v>
      </c>
      <c r="M113" s="566"/>
      <c r="N113" s="33">
        <v>200</v>
      </c>
      <c r="O113" s="34" t="s">
        <v>114</v>
      </c>
      <c r="P113" s="34" t="s">
        <v>114</v>
      </c>
      <c r="Q113" s="34" t="s">
        <v>114</v>
      </c>
      <c r="R113" s="35" t="s">
        <v>114</v>
      </c>
      <c r="S113" s="38" t="s">
        <v>114</v>
      </c>
      <c r="T113" s="34">
        <v>0.80000001192092896</v>
      </c>
      <c r="U113" s="34">
        <v>0.8399999737739563</v>
      </c>
      <c r="V113" s="36">
        <v>0.87999999523162842</v>
      </c>
    </row>
    <row r="114" spans="2:22" ht="15" thickBot="1"/>
    <row r="115" spans="2:22" ht="16" thickBot="1">
      <c r="B115" s="42" t="s">
        <v>196</v>
      </c>
      <c r="C115" s="43"/>
      <c r="D115" s="577" t="s">
        <v>462</v>
      </c>
      <c r="E115" s="577"/>
      <c r="F115" s="577"/>
      <c r="G115" s="577"/>
      <c r="H115" s="577"/>
      <c r="I115" s="577"/>
      <c r="J115" s="577"/>
      <c r="K115" s="578"/>
      <c r="M115" s="42" t="s">
        <v>196</v>
      </c>
      <c r="N115" s="43"/>
      <c r="O115" s="577" t="s">
        <v>462</v>
      </c>
      <c r="P115" s="577"/>
      <c r="Q115" s="577"/>
      <c r="R115" s="577"/>
      <c r="S115" s="577"/>
      <c r="T115" s="577"/>
      <c r="U115" s="577"/>
      <c r="V115" s="578"/>
    </row>
    <row r="116" spans="2:22">
      <c r="B116" s="565">
        <v>4</v>
      </c>
      <c r="C116" s="569" t="s">
        <v>463</v>
      </c>
      <c r="D116" s="579" t="s">
        <v>464</v>
      </c>
      <c r="E116" s="580"/>
      <c r="F116" s="580"/>
      <c r="G116" s="580"/>
      <c r="H116" s="580"/>
      <c r="I116" s="580"/>
      <c r="J116" s="580"/>
      <c r="K116" s="581"/>
      <c r="M116" s="565">
        <v>4</v>
      </c>
      <c r="N116" s="569" t="s">
        <v>463</v>
      </c>
      <c r="O116" s="579" t="s">
        <v>464</v>
      </c>
      <c r="P116" s="580"/>
      <c r="Q116" s="580"/>
      <c r="R116" s="580"/>
      <c r="S116" s="580"/>
      <c r="T116" s="580"/>
      <c r="U116" s="580"/>
      <c r="V116" s="581"/>
    </row>
    <row r="117" spans="2:22" ht="15" thickBot="1">
      <c r="B117" s="566"/>
      <c r="C117" s="569"/>
      <c r="D117" s="582"/>
      <c r="E117" s="583"/>
      <c r="F117" s="583"/>
      <c r="G117" s="583"/>
      <c r="H117" s="583"/>
      <c r="I117" s="583"/>
      <c r="J117" s="583"/>
      <c r="K117" s="584"/>
      <c r="M117" s="566"/>
      <c r="N117" s="569"/>
      <c r="O117" s="582"/>
      <c r="P117" s="583"/>
      <c r="Q117" s="583"/>
      <c r="R117" s="583"/>
      <c r="S117" s="583"/>
      <c r="T117" s="583"/>
      <c r="U117" s="583"/>
      <c r="V117" s="584"/>
    </row>
    <row r="118" spans="2:22" ht="15" thickBot="1">
      <c r="B118" s="567"/>
      <c r="C118" s="570"/>
      <c r="D118" s="22">
        <v>0</v>
      </c>
      <c r="E118" s="22">
        <v>500</v>
      </c>
      <c r="F118" s="22">
        <v>1000</v>
      </c>
      <c r="G118" s="22">
        <v>1500</v>
      </c>
      <c r="H118" s="22">
        <v>2000</v>
      </c>
      <c r="I118" s="22">
        <v>2500</v>
      </c>
      <c r="J118" s="22">
        <v>3000</v>
      </c>
      <c r="K118" s="23">
        <v>3500</v>
      </c>
      <c r="M118" s="567"/>
      <c r="N118" s="570"/>
      <c r="O118" s="22">
        <v>0</v>
      </c>
      <c r="P118" s="22">
        <v>500</v>
      </c>
      <c r="Q118" s="22">
        <v>1000</v>
      </c>
      <c r="R118" s="22">
        <v>1500</v>
      </c>
      <c r="S118" s="22">
        <v>2000</v>
      </c>
      <c r="T118" s="22">
        <v>2500</v>
      </c>
      <c r="U118" s="22">
        <v>3000</v>
      </c>
      <c r="V118" s="23">
        <v>3500</v>
      </c>
    </row>
    <row r="119" spans="2:22">
      <c r="B119" s="565">
        <v>15</v>
      </c>
      <c r="C119" s="24">
        <v>100</v>
      </c>
      <c r="D119" s="25">
        <v>1.8300000429153442</v>
      </c>
      <c r="E119" s="25">
        <v>1.86</v>
      </c>
      <c r="F119" s="25">
        <v>1.89</v>
      </c>
      <c r="G119" s="25">
        <v>1.92</v>
      </c>
      <c r="H119" s="25">
        <v>1.95</v>
      </c>
      <c r="I119" s="25">
        <v>1.98</v>
      </c>
      <c r="J119" s="25">
        <v>2.0099999999999998</v>
      </c>
      <c r="K119" s="26">
        <v>2.0499999523162842</v>
      </c>
      <c r="M119" s="565">
        <v>20</v>
      </c>
      <c r="N119" s="24">
        <v>100</v>
      </c>
      <c r="O119" s="25">
        <v>1.5900000333786011</v>
      </c>
      <c r="P119" s="25">
        <v>1.63</v>
      </c>
      <c r="Q119" s="25">
        <v>1.67</v>
      </c>
      <c r="R119" s="25">
        <v>1.72</v>
      </c>
      <c r="S119" s="25">
        <v>1.76</v>
      </c>
      <c r="T119" s="25">
        <v>1.81</v>
      </c>
      <c r="U119" s="25">
        <v>1.85</v>
      </c>
      <c r="V119" s="26">
        <v>1.8999999761581421</v>
      </c>
    </row>
    <row r="120" spans="2:22">
      <c r="B120" s="566"/>
      <c r="C120" s="27">
        <v>110</v>
      </c>
      <c r="D120" s="28">
        <v>1.7100000381469727</v>
      </c>
      <c r="E120" s="28">
        <v>1.74</v>
      </c>
      <c r="F120" s="28">
        <v>1.77</v>
      </c>
      <c r="G120" s="28">
        <v>1.81</v>
      </c>
      <c r="H120" s="28">
        <v>1.84</v>
      </c>
      <c r="I120" s="28">
        <v>1.88</v>
      </c>
      <c r="J120" s="28">
        <v>1.91</v>
      </c>
      <c r="K120" s="29">
        <v>1.9500000476837158</v>
      </c>
      <c r="M120" s="566"/>
      <c r="N120" s="27">
        <v>110</v>
      </c>
      <c r="O120" s="28">
        <v>1.440000057220459</v>
      </c>
      <c r="P120" s="28">
        <v>1.48</v>
      </c>
      <c r="Q120" s="28">
        <v>1.53</v>
      </c>
      <c r="R120" s="28">
        <v>1.58</v>
      </c>
      <c r="S120" s="28">
        <v>1.63</v>
      </c>
      <c r="T120" s="28">
        <v>1.68</v>
      </c>
      <c r="U120" s="28">
        <v>1.73</v>
      </c>
      <c r="V120" s="29">
        <v>1.7799999713897705</v>
      </c>
    </row>
    <row r="121" spans="2:22">
      <c r="B121" s="566"/>
      <c r="C121" s="30">
        <v>120</v>
      </c>
      <c r="D121" s="31">
        <v>1.5900000333786011</v>
      </c>
      <c r="E121" s="31">
        <v>1.62</v>
      </c>
      <c r="F121" s="31">
        <v>1.66</v>
      </c>
      <c r="G121" s="31">
        <v>1.7</v>
      </c>
      <c r="H121" s="31">
        <v>1.74</v>
      </c>
      <c r="I121" s="31">
        <v>1.78</v>
      </c>
      <c r="J121" s="31">
        <v>1.82</v>
      </c>
      <c r="K121" s="32">
        <v>1.8600000143051147</v>
      </c>
      <c r="M121" s="566"/>
      <c r="N121" s="30">
        <v>120</v>
      </c>
      <c r="O121" s="31">
        <v>1.3200000524520874</v>
      </c>
      <c r="P121" s="31">
        <v>1.36</v>
      </c>
      <c r="Q121" s="31">
        <v>1.41</v>
      </c>
      <c r="R121" s="31">
        <v>1.46</v>
      </c>
      <c r="S121" s="31">
        <v>1.5</v>
      </c>
      <c r="T121" s="31">
        <v>1.55</v>
      </c>
      <c r="U121" s="31">
        <v>1.6</v>
      </c>
      <c r="V121" s="32">
        <v>1.6499999761581421</v>
      </c>
    </row>
    <row r="122" spans="2:22">
      <c r="B122" s="566"/>
      <c r="C122" s="27">
        <v>130</v>
      </c>
      <c r="D122" s="28">
        <v>1.4700000286102295</v>
      </c>
      <c r="E122" s="28">
        <v>1.51</v>
      </c>
      <c r="F122" s="28">
        <v>1.55</v>
      </c>
      <c r="G122" s="28">
        <v>1.59</v>
      </c>
      <c r="H122" s="28">
        <v>1.64</v>
      </c>
      <c r="I122" s="28">
        <v>1.68</v>
      </c>
      <c r="J122" s="28">
        <v>1.72</v>
      </c>
      <c r="K122" s="29">
        <v>1.7699999809265137</v>
      </c>
      <c r="M122" s="566"/>
      <c r="N122" s="27">
        <v>130</v>
      </c>
      <c r="O122" s="28">
        <v>1.2100000381469727</v>
      </c>
      <c r="P122" s="28">
        <v>1.25</v>
      </c>
      <c r="Q122" s="28">
        <v>1.29</v>
      </c>
      <c r="R122" s="28">
        <v>1.34</v>
      </c>
      <c r="S122" s="28">
        <v>1.38</v>
      </c>
      <c r="T122" s="28">
        <v>1.43</v>
      </c>
      <c r="U122" s="28">
        <v>1.47</v>
      </c>
      <c r="V122" s="29">
        <v>1.5199999809265137</v>
      </c>
    </row>
    <row r="123" spans="2:22">
      <c r="B123" s="566"/>
      <c r="C123" s="30">
        <v>140</v>
      </c>
      <c r="D123" s="31">
        <v>1.3600000143051147</v>
      </c>
      <c r="E123" s="31">
        <v>1.4</v>
      </c>
      <c r="F123" s="31">
        <v>1.44</v>
      </c>
      <c r="G123" s="31">
        <v>1.49</v>
      </c>
      <c r="H123" s="31">
        <v>1.53</v>
      </c>
      <c r="I123" s="31">
        <v>1.58</v>
      </c>
      <c r="J123" s="31">
        <v>1.62</v>
      </c>
      <c r="K123" s="32">
        <v>1.6699999570846558</v>
      </c>
      <c r="M123" s="566"/>
      <c r="N123" s="30">
        <v>140</v>
      </c>
      <c r="O123" s="31">
        <v>1.1100000143051147</v>
      </c>
      <c r="P123" s="31">
        <v>1.1499999999999999</v>
      </c>
      <c r="Q123" s="31">
        <v>1.19</v>
      </c>
      <c r="R123" s="31">
        <v>1.23</v>
      </c>
      <c r="S123" s="31">
        <v>1.27</v>
      </c>
      <c r="T123" s="31">
        <v>1.31</v>
      </c>
      <c r="U123" s="31">
        <v>1.35</v>
      </c>
      <c r="V123" s="32">
        <v>1.3999999761581421</v>
      </c>
    </row>
    <row r="124" spans="2:22">
      <c r="B124" s="566"/>
      <c r="C124" s="27">
        <v>150</v>
      </c>
      <c r="D124" s="28">
        <v>1.25</v>
      </c>
      <c r="E124" s="28">
        <v>1.29</v>
      </c>
      <c r="F124" s="28">
        <v>1.34</v>
      </c>
      <c r="G124" s="28">
        <v>1.39</v>
      </c>
      <c r="H124" s="28">
        <v>1.43</v>
      </c>
      <c r="I124" s="28">
        <v>1.48</v>
      </c>
      <c r="J124" s="28">
        <v>1.53</v>
      </c>
      <c r="K124" s="29">
        <v>1.5800000429153442</v>
      </c>
      <c r="M124" s="566"/>
      <c r="N124" s="27">
        <v>150</v>
      </c>
      <c r="O124" s="28">
        <v>1.0299999713897705</v>
      </c>
      <c r="P124" s="28">
        <v>1.06</v>
      </c>
      <c r="Q124" s="28">
        <v>1.1000000000000001</v>
      </c>
      <c r="R124" s="28">
        <v>1.1399999999999999</v>
      </c>
      <c r="S124" s="28">
        <v>1.18</v>
      </c>
      <c r="T124" s="28">
        <v>1.22</v>
      </c>
      <c r="U124" s="28">
        <v>1.26</v>
      </c>
      <c r="V124" s="29">
        <v>1.2999999523162842</v>
      </c>
    </row>
    <row r="125" spans="2:22">
      <c r="B125" s="566"/>
      <c r="C125" s="30">
        <v>160</v>
      </c>
      <c r="D125" s="31">
        <v>1.1699999570846558</v>
      </c>
      <c r="E125" s="31">
        <v>1.21</v>
      </c>
      <c r="F125" s="31">
        <v>1.25</v>
      </c>
      <c r="G125" s="31">
        <v>1.3</v>
      </c>
      <c r="H125" s="31">
        <v>1.34</v>
      </c>
      <c r="I125" s="31">
        <v>1.39</v>
      </c>
      <c r="J125" s="31">
        <v>1.43</v>
      </c>
      <c r="K125" s="32">
        <v>1.4800000190734863</v>
      </c>
      <c r="M125" s="566"/>
      <c r="N125" s="30">
        <v>160</v>
      </c>
      <c r="O125" s="31">
        <v>0.97000002861022949</v>
      </c>
      <c r="P125" s="31">
        <v>1</v>
      </c>
      <c r="Q125" s="31">
        <v>1.03</v>
      </c>
      <c r="R125" s="31">
        <v>1.07</v>
      </c>
      <c r="S125" s="31">
        <v>1.1000000000000001</v>
      </c>
      <c r="T125" s="31">
        <v>1.1399999999999999</v>
      </c>
      <c r="U125" s="31">
        <v>1.17</v>
      </c>
      <c r="V125" s="32">
        <v>1.2100000381469727</v>
      </c>
    </row>
    <row r="126" spans="2:22">
      <c r="B126" s="566"/>
      <c r="C126" s="27">
        <v>170</v>
      </c>
      <c r="D126" s="28">
        <v>1.1000000238418579</v>
      </c>
      <c r="E126" s="28">
        <v>1.1399999999999999</v>
      </c>
      <c r="F126" s="28">
        <v>1.18</v>
      </c>
      <c r="G126" s="28">
        <v>1.22</v>
      </c>
      <c r="H126" s="28">
        <v>1.26</v>
      </c>
      <c r="I126" s="28">
        <v>1.3</v>
      </c>
      <c r="J126" s="28">
        <v>1.33</v>
      </c>
      <c r="K126" s="29">
        <v>1.3799999952316284</v>
      </c>
      <c r="M126" s="566"/>
      <c r="N126" s="27">
        <v>170</v>
      </c>
      <c r="O126" s="28">
        <v>0.9100000262260437</v>
      </c>
      <c r="P126" s="28">
        <v>0.94</v>
      </c>
      <c r="Q126" s="28">
        <v>0.97</v>
      </c>
      <c r="R126" s="28">
        <v>1</v>
      </c>
      <c r="S126" s="28">
        <v>1.04</v>
      </c>
      <c r="T126" s="28">
        <v>1.07</v>
      </c>
      <c r="U126" s="28">
        <v>1.1000000000000001</v>
      </c>
      <c r="V126" s="29">
        <v>1.1399999856948853</v>
      </c>
    </row>
    <row r="127" spans="2:22">
      <c r="B127" s="566"/>
      <c r="C127" s="30">
        <v>180</v>
      </c>
      <c r="D127" s="31">
        <v>1.0299999713897705</v>
      </c>
      <c r="E127" s="31">
        <v>1.06</v>
      </c>
      <c r="F127" s="31">
        <v>1.1000000000000001</v>
      </c>
      <c r="G127" s="31">
        <v>1.1399999999999999</v>
      </c>
      <c r="H127" s="31">
        <v>1.18</v>
      </c>
      <c r="I127" s="31">
        <v>1.22</v>
      </c>
      <c r="J127" s="31">
        <v>1.26</v>
      </c>
      <c r="K127" s="32">
        <v>1.2999999523162842</v>
      </c>
      <c r="M127" s="566"/>
      <c r="N127" s="30">
        <v>180</v>
      </c>
      <c r="O127" s="31">
        <v>0.8399999737739563</v>
      </c>
      <c r="P127" s="31">
        <v>0.87</v>
      </c>
      <c r="Q127" s="31">
        <v>0.9</v>
      </c>
      <c r="R127" s="31">
        <v>0.93</v>
      </c>
      <c r="S127" s="31">
        <v>0.97</v>
      </c>
      <c r="T127" s="31">
        <v>1</v>
      </c>
      <c r="U127" s="31">
        <v>1.03</v>
      </c>
      <c r="V127" s="32">
        <v>1.0700000524520874</v>
      </c>
    </row>
    <row r="128" spans="2:22">
      <c r="B128" s="566"/>
      <c r="C128" s="27">
        <v>190</v>
      </c>
      <c r="D128" s="28">
        <v>0.98000001907348633</v>
      </c>
      <c r="E128" s="28">
        <v>1.01</v>
      </c>
      <c r="F128" s="28">
        <v>1.04</v>
      </c>
      <c r="G128" s="28">
        <v>1.08</v>
      </c>
      <c r="H128" s="28">
        <v>1.1100000000000001</v>
      </c>
      <c r="I128" s="28">
        <v>1.1499999999999999</v>
      </c>
      <c r="J128" s="28">
        <v>1.18</v>
      </c>
      <c r="K128" s="29">
        <v>1.2200000286102295</v>
      </c>
      <c r="M128" s="566"/>
      <c r="N128" s="27">
        <v>190</v>
      </c>
      <c r="O128" s="28" t="s">
        <v>114</v>
      </c>
      <c r="P128" s="28">
        <v>0.80000001192092896</v>
      </c>
      <c r="Q128" s="28">
        <v>0.85000002384185791</v>
      </c>
      <c r="R128" s="28">
        <v>0.88999998569488525</v>
      </c>
      <c r="S128" s="28">
        <v>0.9100000262260437</v>
      </c>
      <c r="T128" s="28">
        <v>0.93999999761581421</v>
      </c>
      <c r="U128" s="28">
        <v>0.98000001907348633</v>
      </c>
      <c r="V128" s="29">
        <v>1.0099999904632568</v>
      </c>
    </row>
    <row r="129" spans="2:22" ht="15" thickBot="1">
      <c r="B129" s="566"/>
      <c r="C129" s="33">
        <v>200</v>
      </c>
      <c r="D129" s="34">
        <v>0.92000001668930054</v>
      </c>
      <c r="E129" s="34">
        <v>0.95</v>
      </c>
      <c r="F129" s="34">
        <v>0.98</v>
      </c>
      <c r="G129" s="35">
        <v>1.02</v>
      </c>
      <c r="H129" s="34">
        <v>1.05</v>
      </c>
      <c r="I129" s="34">
        <v>1.0900000000000001</v>
      </c>
      <c r="J129" s="34">
        <v>1.1200000000000001</v>
      </c>
      <c r="K129" s="36">
        <v>1.1599999666213989</v>
      </c>
      <c r="M129" s="566"/>
      <c r="N129" s="33">
        <v>200</v>
      </c>
      <c r="O129" s="34" t="s">
        <v>114</v>
      </c>
      <c r="P129" s="34" t="s">
        <v>114</v>
      </c>
      <c r="Q129" s="34" t="s">
        <v>114</v>
      </c>
      <c r="R129" s="35">
        <v>0.81999999284744263</v>
      </c>
      <c r="S129" s="34">
        <v>0.86000001430511475</v>
      </c>
      <c r="T129" s="34">
        <v>0.88999998569488525</v>
      </c>
      <c r="U129" s="34">
        <v>0.92000001668930054</v>
      </c>
      <c r="V129" s="36">
        <v>0.95999997854232788</v>
      </c>
    </row>
  </sheetData>
  <mergeCells count="87">
    <mergeCell ref="B23:B33"/>
    <mergeCell ref="B3:C3"/>
    <mergeCell ref="D3:K3"/>
    <mergeCell ref="B4:B6"/>
    <mergeCell ref="C4:C6"/>
    <mergeCell ref="D4:K5"/>
    <mergeCell ref="B7:B17"/>
    <mergeCell ref="B19:C19"/>
    <mergeCell ref="D19:K19"/>
    <mergeCell ref="B20:B22"/>
    <mergeCell ref="C20:C22"/>
    <mergeCell ref="D20:K21"/>
    <mergeCell ref="B39:B49"/>
    <mergeCell ref="B51:C51"/>
    <mergeCell ref="D51:K51"/>
    <mergeCell ref="B52:B54"/>
    <mergeCell ref="C52:C54"/>
    <mergeCell ref="D52:K53"/>
    <mergeCell ref="B35:C35"/>
    <mergeCell ref="D35:K35"/>
    <mergeCell ref="B36:B38"/>
    <mergeCell ref="C36:C38"/>
    <mergeCell ref="D36:K37"/>
    <mergeCell ref="M23:M33"/>
    <mergeCell ref="M3:N3"/>
    <mergeCell ref="O3:V3"/>
    <mergeCell ref="M4:M6"/>
    <mergeCell ref="N4:N6"/>
    <mergeCell ref="O4:V5"/>
    <mergeCell ref="M7:M17"/>
    <mergeCell ref="M19:N19"/>
    <mergeCell ref="O19:V19"/>
    <mergeCell ref="M20:M22"/>
    <mergeCell ref="N20:N22"/>
    <mergeCell ref="O20:V21"/>
    <mergeCell ref="M39:M49"/>
    <mergeCell ref="O51:V51"/>
    <mergeCell ref="M52:M54"/>
    <mergeCell ref="N52:N54"/>
    <mergeCell ref="O52:V53"/>
    <mergeCell ref="M35:N35"/>
    <mergeCell ref="O35:V35"/>
    <mergeCell ref="M36:M38"/>
    <mergeCell ref="N36:N38"/>
    <mergeCell ref="O36:V37"/>
    <mergeCell ref="B68:B70"/>
    <mergeCell ref="C68:C70"/>
    <mergeCell ref="D68:K69"/>
    <mergeCell ref="B71:B81"/>
    <mergeCell ref="M55:M65"/>
    <mergeCell ref="B55:B65"/>
    <mergeCell ref="O67:V67"/>
    <mergeCell ref="M68:M70"/>
    <mergeCell ref="N68:N70"/>
    <mergeCell ref="O68:V69"/>
    <mergeCell ref="D83:K83"/>
    <mergeCell ref="O83:V83"/>
    <mergeCell ref="M71:M81"/>
    <mergeCell ref="D67:K67"/>
    <mergeCell ref="B84:B86"/>
    <mergeCell ref="C84:C86"/>
    <mergeCell ref="D84:K85"/>
    <mergeCell ref="B119:B129"/>
    <mergeCell ref="D99:K99"/>
    <mergeCell ref="B100:B102"/>
    <mergeCell ref="C100:C102"/>
    <mergeCell ref="D100:K101"/>
    <mergeCell ref="B103:B113"/>
    <mergeCell ref="D115:K115"/>
    <mergeCell ref="B116:B118"/>
    <mergeCell ref="C116:C118"/>
    <mergeCell ref="D116:K117"/>
    <mergeCell ref="B87:B97"/>
    <mergeCell ref="M84:M86"/>
    <mergeCell ref="N84:N86"/>
    <mergeCell ref="O84:V85"/>
    <mergeCell ref="M119:M129"/>
    <mergeCell ref="O99:V99"/>
    <mergeCell ref="M100:M102"/>
    <mergeCell ref="N100:N102"/>
    <mergeCell ref="O100:V101"/>
    <mergeCell ref="M103:M113"/>
    <mergeCell ref="O115:V115"/>
    <mergeCell ref="M116:M118"/>
    <mergeCell ref="N116:N118"/>
    <mergeCell ref="O116:V117"/>
    <mergeCell ref="M87:M9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DA5CB50-19FE-469C-8B5F-559B0A1502BA}">
          <x14:formula1>
            <xm:f>'Velocidades de viento'!$M$5:$M$8</xm:f>
          </x14:formula1>
          <xm:sqref>B3:C3 M3:N3 M19:N19 B19:C19 B35:C35 M35:N35 B51:C51 M51:N51 B67:C67 M67:N67 M83:N83 B83:C83 B99:C99 M99:N99 M115:N115 B115:C115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E95CC-27C7-455F-8DE4-121464CE7CC9}">
  <sheetPr codeName="Hoja10"/>
  <dimension ref="B2:V129"/>
  <sheetViews>
    <sheetView topLeftCell="G54" workbookViewId="0">
      <selection activeCell="K17" sqref="K17"/>
    </sheetView>
  </sheetViews>
  <sheetFormatPr defaultColWidth="11.453125" defaultRowHeight="14.5"/>
  <sheetData>
    <row r="2" spans="2:22" ht="15" thickBot="1"/>
    <row r="3" spans="2:22" ht="16" thickBot="1">
      <c r="B3" s="585" t="s">
        <v>465</v>
      </c>
      <c r="C3" s="578"/>
      <c r="D3" s="577" t="s">
        <v>462</v>
      </c>
      <c r="E3" s="577"/>
      <c r="F3" s="577"/>
      <c r="G3" s="577"/>
      <c r="H3" s="577"/>
      <c r="I3" s="577"/>
      <c r="J3" s="577"/>
      <c r="K3" s="578"/>
      <c r="M3" s="585" t="s">
        <v>465</v>
      </c>
      <c r="N3" s="578"/>
      <c r="O3" s="577" t="s">
        <v>462</v>
      </c>
      <c r="P3" s="577"/>
      <c r="Q3" s="577"/>
      <c r="R3" s="577"/>
      <c r="S3" s="577"/>
      <c r="T3" s="577"/>
      <c r="U3" s="577"/>
      <c r="V3" s="578"/>
    </row>
    <row r="4" spans="2:22">
      <c r="B4" s="569" t="s">
        <v>466</v>
      </c>
      <c r="C4" s="569" t="s">
        <v>463</v>
      </c>
      <c r="D4" s="579" t="s">
        <v>464</v>
      </c>
      <c r="E4" s="580"/>
      <c r="F4" s="580"/>
      <c r="G4" s="580"/>
      <c r="H4" s="580"/>
      <c r="I4" s="580"/>
      <c r="J4" s="580"/>
      <c r="K4" s="581"/>
      <c r="M4" s="568" t="s">
        <v>466</v>
      </c>
      <c r="N4" s="569" t="s">
        <v>463</v>
      </c>
      <c r="O4" s="579" t="s">
        <v>464</v>
      </c>
      <c r="P4" s="580"/>
      <c r="Q4" s="580"/>
      <c r="R4" s="580"/>
      <c r="S4" s="580"/>
      <c r="T4" s="580"/>
      <c r="U4" s="580"/>
      <c r="V4" s="581"/>
    </row>
    <row r="5" spans="2:22" ht="15" thickBot="1">
      <c r="B5" s="569"/>
      <c r="C5" s="569"/>
      <c r="D5" s="582"/>
      <c r="E5" s="583"/>
      <c r="F5" s="583"/>
      <c r="G5" s="583"/>
      <c r="H5" s="583"/>
      <c r="I5" s="583"/>
      <c r="J5" s="583"/>
      <c r="K5" s="584"/>
      <c r="M5" s="569"/>
      <c r="N5" s="569"/>
      <c r="O5" s="582"/>
      <c r="P5" s="583"/>
      <c r="Q5" s="583"/>
      <c r="R5" s="583"/>
      <c r="S5" s="583"/>
      <c r="T5" s="583"/>
      <c r="U5" s="583"/>
      <c r="V5" s="584"/>
    </row>
    <row r="6" spans="2:22" ht="15" thickBot="1">
      <c r="B6" s="570"/>
      <c r="C6" s="569"/>
      <c r="D6" s="22">
        <v>0</v>
      </c>
      <c r="E6" s="22">
        <v>500</v>
      </c>
      <c r="F6" s="22">
        <v>1000</v>
      </c>
      <c r="G6" s="22">
        <v>1500</v>
      </c>
      <c r="H6" s="22">
        <v>2000</v>
      </c>
      <c r="I6" s="22">
        <v>2500</v>
      </c>
      <c r="J6" s="22">
        <v>3000</v>
      </c>
      <c r="K6" s="23">
        <v>3500</v>
      </c>
      <c r="M6" s="570"/>
      <c r="N6" s="570"/>
      <c r="O6" s="22">
        <v>0</v>
      </c>
      <c r="P6" s="22">
        <v>500</v>
      </c>
      <c r="Q6" s="22">
        <v>1000</v>
      </c>
      <c r="R6" s="22">
        <v>1500</v>
      </c>
      <c r="S6" s="22">
        <v>2000</v>
      </c>
      <c r="T6" s="22">
        <v>2500</v>
      </c>
      <c r="U6" s="22">
        <v>3000</v>
      </c>
      <c r="V6" s="23">
        <v>3500</v>
      </c>
    </row>
    <row r="7" spans="2:22">
      <c r="B7" s="586" t="s">
        <v>467</v>
      </c>
      <c r="C7" s="24">
        <v>100</v>
      </c>
      <c r="D7" s="25">
        <v>1.7000000476837158</v>
      </c>
      <c r="E7" s="25">
        <v>1.73</v>
      </c>
      <c r="F7" s="25">
        <v>1.76</v>
      </c>
      <c r="G7" s="25">
        <v>1.79</v>
      </c>
      <c r="H7" s="25">
        <v>1.82</v>
      </c>
      <c r="I7" s="25">
        <v>1.85</v>
      </c>
      <c r="J7" s="25">
        <v>1.88</v>
      </c>
      <c r="K7" s="26">
        <v>1.9199999570846558</v>
      </c>
      <c r="M7" s="586" t="s">
        <v>468</v>
      </c>
      <c r="N7" s="24">
        <v>100</v>
      </c>
      <c r="O7" s="25">
        <v>1.5299999713897705</v>
      </c>
      <c r="P7" s="25">
        <v>1.56</v>
      </c>
      <c r="Q7" s="25">
        <v>1.6</v>
      </c>
      <c r="R7" s="25">
        <v>1.64</v>
      </c>
      <c r="S7" s="25">
        <v>1.68</v>
      </c>
      <c r="T7" s="25">
        <v>1.72</v>
      </c>
      <c r="U7" s="25">
        <v>1.76</v>
      </c>
      <c r="V7" s="26">
        <v>1.7999999523162842</v>
      </c>
    </row>
    <row r="8" spans="2:22">
      <c r="B8" s="587"/>
      <c r="C8" s="27">
        <v>110</v>
      </c>
      <c r="D8" s="28">
        <v>1.5700000524520874</v>
      </c>
      <c r="E8" s="28">
        <v>1.6</v>
      </c>
      <c r="F8" s="28">
        <v>1.64</v>
      </c>
      <c r="G8" s="28">
        <v>1.67</v>
      </c>
      <c r="H8" s="28">
        <v>1.71</v>
      </c>
      <c r="I8" s="28">
        <v>1.74</v>
      </c>
      <c r="J8" s="28">
        <v>1.78</v>
      </c>
      <c r="K8" s="29">
        <v>1.8200000524520874</v>
      </c>
      <c r="M8" s="587"/>
      <c r="N8" s="27">
        <v>110</v>
      </c>
      <c r="O8" s="28">
        <v>1.4099999666213989</v>
      </c>
      <c r="P8" s="28">
        <v>1.44</v>
      </c>
      <c r="Q8" s="28">
        <v>1.48</v>
      </c>
      <c r="R8" s="28">
        <v>1.53</v>
      </c>
      <c r="S8" s="28">
        <v>1.57</v>
      </c>
      <c r="T8" s="28">
        <v>1.61</v>
      </c>
      <c r="U8" s="28">
        <v>1.65</v>
      </c>
      <c r="V8" s="29">
        <v>1.690000057220459</v>
      </c>
    </row>
    <row r="9" spans="2:22">
      <c r="B9" s="587"/>
      <c r="C9" s="30">
        <v>120</v>
      </c>
      <c r="D9" s="31">
        <v>1.4500000476837158</v>
      </c>
      <c r="E9" s="31">
        <v>1.49</v>
      </c>
      <c r="F9" s="31">
        <v>1.53</v>
      </c>
      <c r="G9" s="31">
        <v>1.57</v>
      </c>
      <c r="H9" s="31">
        <v>1.61</v>
      </c>
      <c r="I9" s="31">
        <v>1.65</v>
      </c>
      <c r="J9" s="31">
        <v>1.69</v>
      </c>
      <c r="K9" s="32">
        <v>1.7300000190734863</v>
      </c>
      <c r="M9" s="587"/>
      <c r="N9" s="30">
        <v>120</v>
      </c>
      <c r="O9" s="31">
        <v>1.309999942779541</v>
      </c>
      <c r="P9" s="31">
        <v>1.34</v>
      </c>
      <c r="Q9" s="31">
        <v>1.38</v>
      </c>
      <c r="R9" s="31">
        <v>1.42</v>
      </c>
      <c r="S9" s="31">
        <v>1.45</v>
      </c>
      <c r="T9" s="31">
        <v>1.49</v>
      </c>
      <c r="U9" s="31">
        <v>1.53</v>
      </c>
      <c r="V9" s="32">
        <v>1.5700000524520874</v>
      </c>
    </row>
    <row r="10" spans="2:22">
      <c r="B10" s="587"/>
      <c r="C10" s="27">
        <v>130</v>
      </c>
      <c r="D10" s="28">
        <v>1.3500000238418579</v>
      </c>
      <c r="E10" s="28">
        <v>1.38</v>
      </c>
      <c r="F10" s="28">
        <v>1.42</v>
      </c>
      <c r="G10" s="28">
        <v>1.46</v>
      </c>
      <c r="H10" s="28">
        <v>1.5</v>
      </c>
      <c r="I10" s="28">
        <v>1.54</v>
      </c>
      <c r="J10" s="28">
        <v>1.58</v>
      </c>
      <c r="K10" s="29">
        <v>1.6200000047683716</v>
      </c>
      <c r="M10" s="587"/>
      <c r="N10" s="27">
        <v>130</v>
      </c>
      <c r="O10" s="28">
        <v>1.2000000476837158</v>
      </c>
      <c r="P10" s="28">
        <v>1.23</v>
      </c>
      <c r="Q10" s="28">
        <v>1.27</v>
      </c>
      <c r="R10" s="28">
        <v>1.31</v>
      </c>
      <c r="S10" s="28">
        <v>1.35</v>
      </c>
      <c r="T10" s="28">
        <v>1.39</v>
      </c>
      <c r="U10" s="28">
        <v>1.43</v>
      </c>
      <c r="V10" s="29">
        <v>1.4700000286102295</v>
      </c>
    </row>
    <row r="11" spans="2:22">
      <c r="B11" s="587"/>
      <c r="C11" s="30">
        <v>140</v>
      </c>
      <c r="D11" s="31">
        <v>1.2599999904632568</v>
      </c>
      <c r="E11" s="31">
        <v>1.29</v>
      </c>
      <c r="F11" s="31">
        <v>1.33</v>
      </c>
      <c r="G11" s="31">
        <v>1.37</v>
      </c>
      <c r="H11" s="31">
        <v>1.41</v>
      </c>
      <c r="I11" s="31">
        <v>1.45</v>
      </c>
      <c r="J11" s="31">
        <v>1.49</v>
      </c>
      <c r="K11" s="32">
        <v>1.5299999713897705</v>
      </c>
      <c r="M11" s="587"/>
      <c r="N11" s="30">
        <v>140</v>
      </c>
      <c r="O11" s="31">
        <v>1.1100000143051147</v>
      </c>
      <c r="P11" s="31">
        <v>1.1399999999999999</v>
      </c>
      <c r="Q11" s="31">
        <v>1.18</v>
      </c>
      <c r="R11" s="31">
        <v>1.22</v>
      </c>
      <c r="S11" s="31">
        <v>1.26</v>
      </c>
      <c r="T11" s="31">
        <v>1.3</v>
      </c>
      <c r="U11" s="31">
        <v>1.34</v>
      </c>
      <c r="V11" s="32">
        <v>1.3799999952316284</v>
      </c>
    </row>
    <row r="12" spans="2:22">
      <c r="B12" s="587"/>
      <c r="C12" s="27">
        <v>150</v>
      </c>
      <c r="D12" s="28">
        <v>1.190000057220459</v>
      </c>
      <c r="E12" s="28">
        <v>1.22</v>
      </c>
      <c r="F12" s="28">
        <v>1.26</v>
      </c>
      <c r="G12" s="28">
        <v>1.29</v>
      </c>
      <c r="H12" s="28">
        <v>1.33</v>
      </c>
      <c r="I12" s="28">
        <v>1.36</v>
      </c>
      <c r="J12" s="28">
        <v>1.4</v>
      </c>
      <c r="K12" s="29">
        <v>1.440000057220459</v>
      </c>
      <c r="M12" s="587"/>
      <c r="N12" s="27">
        <v>150</v>
      </c>
      <c r="O12" s="28">
        <v>1.0299999713897705</v>
      </c>
      <c r="P12" s="28">
        <v>1.06</v>
      </c>
      <c r="Q12" s="28">
        <v>1.1000000000000001</v>
      </c>
      <c r="R12" s="28">
        <v>1.1399999999999999</v>
      </c>
      <c r="S12" s="28">
        <v>1.18</v>
      </c>
      <c r="T12" s="28">
        <v>1.22</v>
      </c>
      <c r="U12" s="28">
        <v>1.26</v>
      </c>
      <c r="V12" s="29">
        <v>1.2999999523162842</v>
      </c>
    </row>
    <row r="13" spans="2:22">
      <c r="B13" s="587"/>
      <c r="C13" s="30">
        <v>160</v>
      </c>
      <c r="D13" s="31">
        <v>1.1200000047683716</v>
      </c>
      <c r="E13" s="31">
        <v>1.1499999999999999</v>
      </c>
      <c r="F13" s="31">
        <v>1.18</v>
      </c>
      <c r="G13" s="31">
        <v>1.21</v>
      </c>
      <c r="H13" s="31">
        <v>1.25</v>
      </c>
      <c r="I13" s="31">
        <v>1.28</v>
      </c>
      <c r="J13" s="31">
        <v>1.31</v>
      </c>
      <c r="K13" s="32">
        <v>1.3500000238418579</v>
      </c>
      <c r="M13" s="587"/>
      <c r="N13" s="30">
        <v>160</v>
      </c>
      <c r="O13" s="31">
        <v>0.95999997854232788</v>
      </c>
      <c r="P13" s="31">
        <v>0.99</v>
      </c>
      <c r="Q13" s="31">
        <v>1.03</v>
      </c>
      <c r="R13" s="31">
        <v>1.06</v>
      </c>
      <c r="S13" s="31">
        <v>1.1000000000000001</v>
      </c>
      <c r="T13" s="31">
        <v>1.1299999999999999</v>
      </c>
      <c r="U13" s="31">
        <v>1.17</v>
      </c>
      <c r="V13" s="32">
        <v>1.2100000381469727</v>
      </c>
    </row>
    <row r="14" spans="2:22">
      <c r="B14" s="587"/>
      <c r="C14" s="27">
        <v>170</v>
      </c>
      <c r="D14" s="28">
        <v>1.059999942779541</v>
      </c>
      <c r="E14" s="28">
        <v>1.0900000000000001</v>
      </c>
      <c r="F14" s="28">
        <v>1.1200000000000001</v>
      </c>
      <c r="G14" s="28">
        <v>1.1499999999999999</v>
      </c>
      <c r="H14" s="28">
        <v>1.19</v>
      </c>
      <c r="I14" s="28">
        <v>1.22</v>
      </c>
      <c r="J14" s="28">
        <v>1.25</v>
      </c>
      <c r="K14" s="29">
        <v>1.2899999618530273</v>
      </c>
      <c r="M14" s="587"/>
      <c r="N14" s="27">
        <v>170</v>
      </c>
      <c r="O14" s="28">
        <v>0.86000001430511475</v>
      </c>
      <c r="P14" s="28">
        <v>0.9</v>
      </c>
      <c r="Q14" s="28">
        <v>0.94</v>
      </c>
      <c r="R14" s="28">
        <v>0.98</v>
      </c>
      <c r="S14" s="28">
        <v>1.01</v>
      </c>
      <c r="T14" s="28">
        <v>1.05</v>
      </c>
      <c r="U14" s="28">
        <v>1.0900000000000001</v>
      </c>
      <c r="V14" s="29">
        <v>1.1399999856948853</v>
      </c>
    </row>
    <row r="15" spans="2:22">
      <c r="B15" s="587"/>
      <c r="C15" s="30">
        <v>180</v>
      </c>
      <c r="D15" s="31">
        <v>1.0099999904632568</v>
      </c>
      <c r="E15" s="31">
        <v>1.03</v>
      </c>
      <c r="F15" s="31">
        <v>1.07</v>
      </c>
      <c r="G15" s="31">
        <v>1.1000000000000001</v>
      </c>
      <c r="H15" s="31">
        <v>1.1299999999999999</v>
      </c>
      <c r="I15" s="31">
        <v>1.1599999999999999</v>
      </c>
      <c r="J15" s="31">
        <v>1.19</v>
      </c>
      <c r="K15" s="32">
        <v>1.2200000286102295</v>
      </c>
      <c r="M15" s="587"/>
      <c r="N15" s="30">
        <v>180</v>
      </c>
      <c r="O15" s="31" t="s">
        <v>114</v>
      </c>
      <c r="P15" s="31">
        <v>0.80000001192092896</v>
      </c>
      <c r="Q15" s="31">
        <v>0.85000002384185791</v>
      </c>
      <c r="R15" s="31">
        <v>0.92000001668930054</v>
      </c>
      <c r="S15" s="31">
        <v>0.95999997854232788</v>
      </c>
      <c r="T15" s="31">
        <v>1</v>
      </c>
      <c r="U15" s="31">
        <v>1.0299999713897705</v>
      </c>
      <c r="V15" s="32">
        <v>1.0700000524520874</v>
      </c>
    </row>
    <row r="16" spans="2:22">
      <c r="B16" s="587"/>
      <c r="C16" s="27">
        <v>190</v>
      </c>
      <c r="D16" s="28">
        <v>0.93000000715255737</v>
      </c>
      <c r="E16" s="28">
        <v>0.96</v>
      </c>
      <c r="F16" s="28">
        <v>0.99</v>
      </c>
      <c r="G16" s="28">
        <v>1.02</v>
      </c>
      <c r="H16" s="28">
        <v>1.06</v>
      </c>
      <c r="I16" s="28">
        <v>1.0900000000000001</v>
      </c>
      <c r="J16" s="28">
        <v>1.1200000000000001</v>
      </c>
      <c r="K16" s="29">
        <v>1.1599999666213989</v>
      </c>
      <c r="M16" s="587"/>
      <c r="N16" s="27">
        <v>190</v>
      </c>
      <c r="O16" s="39" t="s">
        <v>114</v>
      </c>
      <c r="P16" s="28" t="s">
        <v>114</v>
      </c>
      <c r="Q16" s="28" t="s">
        <v>114</v>
      </c>
      <c r="R16" s="39">
        <v>0.81999999284744263</v>
      </c>
      <c r="S16" s="39">
        <v>0.87000000476837158</v>
      </c>
      <c r="T16" s="39">
        <v>0.92000001668930054</v>
      </c>
      <c r="U16" s="39">
        <v>0.97000002861022949</v>
      </c>
      <c r="V16" s="40">
        <v>1.0099999904632568</v>
      </c>
    </row>
    <row r="17" spans="2:22" ht="15" thickBot="1">
      <c r="B17" s="588"/>
      <c r="C17" s="33">
        <v>200</v>
      </c>
      <c r="D17" s="34">
        <v>0.8399999737739563</v>
      </c>
      <c r="E17" s="34">
        <v>0.87</v>
      </c>
      <c r="F17" s="34">
        <v>0.91</v>
      </c>
      <c r="G17" s="35">
        <v>0.95</v>
      </c>
      <c r="H17" s="34">
        <v>0.99</v>
      </c>
      <c r="I17" s="34">
        <v>1.03</v>
      </c>
      <c r="J17" s="34">
        <v>1.07</v>
      </c>
      <c r="K17" s="36">
        <v>1.1100000143051147</v>
      </c>
      <c r="M17" s="588"/>
      <c r="N17" s="33">
        <v>200</v>
      </c>
      <c r="O17" s="34" t="s">
        <v>114</v>
      </c>
      <c r="P17" s="34" t="s">
        <v>114</v>
      </c>
      <c r="Q17" s="34" t="s">
        <v>114</v>
      </c>
      <c r="R17" s="34" t="s">
        <v>114</v>
      </c>
      <c r="S17" s="34" t="s">
        <v>114</v>
      </c>
      <c r="T17" s="34">
        <v>0.82999998331069946</v>
      </c>
      <c r="U17" s="34">
        <v>0.88999998569488525</v>
      </c>
      <c r="V17" s="36">
        <v>0.94999998807907104</v>
      </c>
    </row>
    <row r="18" spans="2:22" ht="15" thickBot="1"/>
    <row r="19" spans="2:22" ht="16" thickBot="1">
      <c r="B19" s="585" t="s">
        <v>465</v>
      </c>
      <c r="C19" s="578"/>
      <c r="D19" s="577" t="s">
        <v>462</v>
      </c>
      <c r="E19" s="577"/>
      <c r="F19" s="577"/>
      <c r="G19" s="577"/>
      <c r="H19" s="577"/>
      <c r="I19" s="577"/>
      <c r="J19" s="577"/>
      <c r="K19" s="578"/>
      <c r="M19" s="585" t="s">
        <v>465</v>
      </c>
      <c r="N19" s="578"/>
      <c r="O19" s="577" t="s">
        <v>462</v>
      </c>
      <c r="P19" s="577"/>
      <c r="Q19" s="577"/>
      <c r="R19" s="577"/>
      <c r="S19" s="577"/>
      <c r="T19" s="577"/>
      <c r="U19" s="577"/>
      <c r="V19" s="578"/>
    </row>
    <row r="20" spans="2:22">
      <c r="B20" s="569" t="s">
        <v>469</v>
      </c>
      <c r="C20" s="569" t="s">
        <v>463</v>
      </c>
      <c r="D20" s="579" t="s">
        <v>464</v>
      </c>
      <c r="E20" s="580"/>
      <c r="F20" s="580"/>
      <c r="G20" s="580"/>
      <c r="H20" s="580"/>
      <c r="I20" s="580"/>
      <c r="J20" s="580"/>
      <c r="K20" s="581"/>
      <c r="M20" s="568" t="s">
        <v>469</v>
      </c>
      <c r="N20" s="569" t="s">
        <v>463</v>
      </c>
      <c r="O20" s="579" t="s">
        <v>464</v>
      </c>
      <c r="P20" s="580"/>
      <c r="Q20" s="580"/>
      <c r="R20" s="580"/>
      <c r="S20" s="580"/>
      <c r="T20" s="580"/>
      <c r="U20" s="580"/>
      <c r="V20" s="581"/>
    </row>
    <row r="21" spans="2:22" ht="15" thickBot="1">
      <c r="B21" s="569"/>
      <c r="C21" s="569"/>
      <c r="D21" s="582"/>
      <c r="E21" s="583"/>
      <c r="F21" s="583"/>
      <c r="G21" s="583"/>
      <c r="H21" s="583"/>
      <c r="I21" s="583"/>
      <c r="J21" s="583"/>
      <c r="K21" s="584"/>
      <c r="M21" s="569"/>
      <c r="N21" s="569"/>
      <c r="O21" s="582"/>
      <c r="P21" s="583"/>
      <c r="Q21" s="583"/>
      <c r="R21" s="583"/>
      <c r="S21" s="583"/>
      <c r="T21" s="583"/>
      <c r="U21" s="583"/>
      <c r="V21" s="584"/>
    </row>
    <row r="22" spans="2:22" ht="15" thickBot="1">
      <c r="B22" s="570"/>
      <c r="C22" s="569"/>
      <c r="D22" s="22">
        <v>0</v>
      </c>
      <c r="E22" s="22">
        <v>500</v>
      </c>
      <c r="F22" s="22">
        <v>1000</v>
      </c>
      <c r="G22" s="22">
        <v>1500</v>
      </c>
      <c r="H22" s="22">
        <v>2000</v>
      </c>
      <c r="I22" s="22">
        <v>2500</v>
      </c>
      <c r="J22" s="22">
        <v>3000</v>
      </c>
      <c r="K22" s="23">
        <v>3500</v>
      </c>
      <c r="M22" s="570"/>
      <c r="N22" s="570"/>
      <c r="O22" s="22">
        <v>0</v>
      </c>
      <c r="P22" s="22">
        <v>500</v>
      </c>
      <c r="Q22" s="22">
        <v>1000</v>
      </c>
      <c r="R22" s="22">
        <v>1500</v>
      </c>
      <c r="S22" s="22">
        <v>2000</v>
      </c>
      <c r="T22" s="22">
        <v>2500</v>
      </c>
      <c r="U22" s="22">
        <v>3000</v>
      </c>
      <c r="V22" s="23">
        <v>3500</v>
      </c>
    </row>
    <row r="23" spans="2:22">
      <c r="B23" s="586" t="s">
        <v>467</v>
      </c>
      <c r="C23" s="24">
        <v>100</v>
      </c>
      <c r="D23" s="25">
        <v>1.8300000429153442</v>
      </c>
      <c r="E23" s="25">
        <v>1.86</v>
      </c>
      <c r="F23" s="25">
        <v>1.89</v>
      </c>
      <c r="G23" s="25">
        <v>1.92</v>
      </c>
      <c r="H23" s="25">
        <v>1.95</v>
      </c>
      <c r="I23" s="25">
        <v>1.98</v>
      </c>
      <c r="J23" s="25">
        <v>2.0099999999999998</v>
      </c>
      <c r="K23" s="26">
        <v>2.0499999523162842</v>
      </c>
      <c r="M23" s="586" t="s">
        <v>468</v>
      </c>
      <c r="N23" s="24">
        <v>100</v>
      </c>
      <c r="O23" s="25">
        <v>1.7000000476837158</v>
      </c>
      <c r="P23" s="25">
        <v>1.73</v>
      </c>
      <c r="Q23" s="25">
        <v>1.76</v>
      </c>
      <c r="R23" s="25">
        <v>1.8</v>
      </c>
      <c r="S23" s="25">
        <v>1.83</v>
      </c>
      <c r="T23" s="25">
        <v>1.87</v>
      </c>
      <c r="U23" s="25">
        <v>1.9</v>
      </c>
      <c r="V23" s="26">
        <v>1.940000057220459</v>
      </c>
    </row>
    <row r="24" spans="2:22">
      <c r="B24" s="587"/>
      <c r="C24" s="27">
        <v>110</v>
      </c>
      <c r="D24" s="28">
        <v>1.7300000190734863</v>
      </c>
      <c r="E24" s="28">
        <v>1.76</v>
      </c>
      <c r="F24" s="28">
        <v>1.79</v>
      </c>
      <c r="G24" s="28">
        <v>1.82</v>
      </c>
      <c r="H24" s="28">
        <v>1.85</v>
      </c>
      <c r="I24" s="28">
        <v>1.88</v>
      </c>
      <c r="J24" s="28">
        <v>1.91</v>
      </c>
      <c r="K24" s="29">
        <v>1.9500000476837158</v>
      </c>
      <c r="M24" s="587"/>
      <c r="N24" s="27">
        <v>110</v>
      </c>
      <c r="O24" s="28">
        <v>1.5700000524520874</v>
      </c>
      <c r="P24" s="28">
        <v>1.6</v>
      </c>
      <c r="Q24" s="28">
        <v>1.64</v>
      </c>
      <c r="R24" s="28">
        <v>1.68</v>
      </c>
      <c r="S24" s="28">
        <v>1.72</v>
      </c>
      <c r="T24" s="28">
        <v>1.76</v>
      </c>
      <c r="U24" s="28">
        <v>1.8</v>
      </c>
      <c r="V24" s="29">
        <v>1.8400000333786011</v>
      </c>
    </row>
    <row r="25" spans="2:22">
      <c r="B25" s="587"/>
      <c r="C25" s="30">
        <v>120</v>
      </c>
      <c r="D25" s="31">
        <v>1.6200000047683716</v>
      </c>
      <c r="E25" s="31">
        <v>1.65</v>
      </c>
      <c r="F25" s="31">
        <v>1.68</v>
      </c>
      <c r="G25" s="31">
        <v>1.72</v>
      </c>
      <c r="H25" s="31">
        <v>1.75</v>
      </c>
      <c r="I25" s="31">
        <v>1.79</v>
      </c>
      <c r="J25" s="31">
        <v>1.82</v>
      </c>
      <c r="K25" s="32">
        <v>1.8600000143051147</v>
      </c>
      <c r="M25" s="587"/>
      <c r="N25" s="30">
        <v>120</v>
      </c>
      <c r="O25" s="31">
        <v>1.4600000381469727</v>
      </c>
      <c r="P25" s="31">
        <v>1.5</v>
      </c>
      <c r="Q25" s="31">
        <v>1.54</v>
      </c>
      <c r="R25" s="31">
        <v>1.58</v>
      </c>
      <c r="S25" s="31">
        <v>1.62</v>
      </c>
      <c r="T25" s="31">
        <v>1.66</v>
      </c>
      <c r="U25" s="31">
        <v>1.7</v>
      </c>
      <c r="V25" s="32">
        <v>1.7400000095367432</v>
      </c>
    </row>
    <row r="26" spans="2:22">
      <c r="B26" s="587"/>
      <c r="C26" s="27">
        <v>130</v>
      </c>
      <c r="D26" s="28">
        <v>1.5099999904632568</v>
      </c>
      <c r="E26" s="28">
        <v>1.54</v>
      </c>
      <c r="F26" s="28">
        <v>1.58</v>
      </c>
      <c r="G26" s="28">
        <v>1.62</v>
      </c>
      <c r="H26" s="28">
        <v>1.65</v>
      </c>
      <c r="I26" s="28">
        <v>1.69</v>
      </c>
      <c r="J26" s="28">
        <v>1.73</v>
      </c>
      <c r="K26" s="29">
        <v>1.7699999809265137</v>
      </c>
      <c r="M26" s="587"/>
      <c r="N26" s="27">
        <v>130</v>
      </c>
      <c r="O26" s="28">
        <v>1.3600000143051147</v>
      </c>
      <c r="P26" s="28">
        <v>1.4</v>
      </c>
      <c r="Q26" s="28">
        <v>1.44</v>
      </c>
      <c r="R26" s="28">
        <v>1.48</v>
      </c>
      <c r="S26" s="28">
        <v>1.51</v>
      </c>
      <c r="T26" s="28">
        <v>1.55</v>
      </c>
      <c r="U26" s="28">
        <v>1.59</v>
      </c>
      <c r="V26" s="29">
        <v>1.6399999856948853</v>
      </c>
    </row>
    <row r="27" spans="2:22">
      <c r="B27" s="587"/>
      <c r="C27" s="30">
        <v>140</v>
      </c>
      <c r="D27" s="31">
        <v>1.4199999570846558</v>
      </c>
      <c r="E27" s="31">
        <v>1.45</v>
      </c>
      <c r="F27" s="31">
        <v>1.49</v>
      </c>
      <c r="G27" s="31">
        <v>1.53</v>
      </c>
      <c r="H27" s="31">
        <v>1.58</v>
      </c>
      <c r="I27" s="31">
        <v>1.62</v>
      </c>
      <c r="J27" s="31">
        <v>1.66</v>
      </c>
      <c r="K27" s="32">
        <v>1.7000000476837158</v>
      </c>
      <c r="M27" s="587"/>
      <c r="N27" s="30">
        <v>140</v>
      </c>
      <c r="O27" s="31">
        <v>1.2699999809265137</v>
      </c>
      <c r="P27" s="31">
        <v>1.3</v>
      </c>
      <c r="Q27" s="31">
        <v>1.34</v>
      </c>
      <c r="R27" s="31">
        <v>1.38</v>
      </c>
      <c r="S27" s="31">
        <v>1.42</v>
      </c>
      <c r="T27" s="31">
        <v>1.46</v>
      </c>
      <c r="U27" s="31">
        <v>1.5</v>
      </c>
      <c r="V27" s="32">
        <v>1.5399999618530273</v>
      </c>
    </row>
    <row r="28" spans="2:22">
      <c r="B28" s="587"/>
      <c r="C28" s="27">
        <v>150</v>
      </c>
      <c r="D28" s="28">
        <v>1.3300000429153442</v>
      </c>
      <c r="E28" s="28">
        <v>1.37</v>
      </c>
      <c r="F28" s="28">
        <v>1.41</v>
      </c>
      <c r="G28" s="28">
        <v>1.45</v>
      </c>
      <c r="H28" s="28">
        <v>1.49</v>
      </c>
      <c r="I28" s="28">
        <v>1.53</v>
      </c>
      <c r="J28" s="28">
        <v>1.57</v>
      </c>
      <c r="K28" s="29">
        <v>1.6100000143051147</v>
      </c>
      <c r="M28" s="587"/>
      <c r="N28" s="27">
        <v>150</v>
      </c>
      <c r="O28" s="28">
        <v>1.1799999475479126</v>
      </c>
      <c r="P28" s="28">
        <v>1.21</v>
      </c>
      <c r="Q28" s="28">
        <v>1.25</v>
      </c>
      <c r="R28" s="28">
        <v>1.29</v>
      </c>
      <c r="S28" s="28">
        <v>1.32</v>
      </c>
      <c r="T28" s="28">
        <v>1.36</v>
      </c>
      <c r="U28" s="28">
        <v>1.4</v>
      </c>
      <c r="V28" s="29">
        <v>1.440000057220459</v>
      </c>
    </row>
    <row r="29" spans="2:22">
      <c r="B29" s="587"/>
      <c r="C29" s="30">
        <v>160</v>
      </c>
      <c r="D29" s="31">
        <v>1.2599999904632568</v>
      </c>
      <c r="E29" s="31">
        <v>1.29</v>
      </c>
      <c r="F29" s="31">
        <v>1.33</v>
      </c>
      <c r="G29" s="31">
        <v>1.37</v>
      </c>
      <c r="H29" s="31">
        <v>1.4</v>
      </c>
      <c r="I29" s="31">
        <v>1.44</v>
      </c>
      <c r="J29" s="31">
        <v>1.48</v>
      </c>
      <c r="K29" s="32">
        <v>1.5199999809265137</v>
      </c>
      <c r="M29" s="587"/>
      <c r="N29" s="30">
        <v>160</v>
      </c>
      <c r="O29" s="31">
        <v>1.1100000143051147</v>
      </c>
      <c r="P29" s="31">
        <v>1.1399999999999999</v>
      </c>
      <c r="Q29" s="31">
        <v>1.18</v>
      </c>
      <c r="R29" s="31">
        <v>1.22</v>
      </c>
      <c r="S29" s="31">
        <v>1.25</v>
      </c>
      <c r="T29" s="31">
        <v>1.29</v>
      </c>
      <c r="U29" s="31">
        <v>1.33</v>
      </c>
      <c r="V29" s="32">
        <v>1.3700000047683716</v>
      </c>
    </row>
    <row r="30" spans="2:22">
      <c r="B30" s="587"/>
      <c r="C30" s="27">
        <v>170</v>
      </c>
      <c r="D30" s="28">
        <v>1.190000057220459</v>
      </c>
      <c r="E30" s="28">
        <v>1.22</v>
      </c>
      <c r="F30" s="28">
        <v>1.26</v>
      </c>
      <c r="G30" s="28">
        <v>1.3</v>
      </c>
      <c r="H30" s="28">
        <v>1.33</v>
      </c>
      <c r="I30" s="28">
        <v>1.37</v>
      </c>
      <c r="J30" s="28">
        <v>1.41</v>
      </c>
      <c r="K30" s="29">
        <v>1.4500000476837158</v>
      </c>
      <c r="M30" s="587"/>
      <c r="N30" s="27">
        <v>170</v>
      </c>
      <c r="O30" s="28">
        <v>1.0399999618530273</v>
      </c>
      <c r="P30" s="28">
        <v>1.07</v>
      </c>
      <c r="Q30" s="28">
        <v>1.1100000000000001</v>
      </c>
      <c r="R30" s="28">
        <v>1.1499999999999999</v>
      </c>
      <c r="S30" s="28">
        <v>1.18</v>
      </c>
      <c r="T30" s="28">
        <v>1.22</v>
      </c>
      <c r="U30" s="28">
        <v>1.26</v>
      </c>
      <c r="V30" s="29">
        <v>1.2999999523162842</v>
      </c>
    </row>
    <row r="31" spans="2:22">
      <c r="B31" s="587"/>
      <c r="C31" s="30">
        <v>180</v>
      </c>
      <c r="D31" s="31">
        <v>1.1299999952316284</v>
      </c>
      <c r="E31" s="31">
        <v>1.1599999999999999</v>
      </c>
      <c r="F31" s="31">
        <v>1.2</v>
      </c>
      <c r="G31" s="31">
        <v>1.23</v>
      </c>
      <c r="H31" s="31">
        <v>1.27</v>
      </c>
      <c r="I31" s="31">
        <v>1.3</v>
      </c>
      <c r="J31" s="31">
        <v>1.34</v>
      </c>
      <c r="K31" s="32">
        <v>1.3799999952316284</v>
      </c>
      <c r="M31" s="587"/>
      <c r="N31" s="30">
        <v>180</v>
      </c>
      <c r="O31" s="31">
        <v>0.97000002861022949</v>
      </c>
      <c r="P31" s="31">
        <v>1</v>
      </c>
      <c r="Q31" s="31">
        <v>1.04</v>
      </c>
      <c r="R31" s="31">
        <v>1.07</v>
      </c>
      <c r="S31" s="31">
        <v>1.1100000000000001</v>
      </c>
      <c r="T31" s="31">
        <v>1.1399999999999999</v>
      </c>
      <c r="U31" s="31">
        <v>1.18</v>
      </c>
      <c r="V31" s="32">
        <v>1.2200000286102295</v>
      </c>
    </row>
    <row r="32" spans="2:22">
      <c r="B32" s="587"/>
      <c r="C32" s="27">
        <v>190</v>
      </c>
      <c r="D32" s="28">
        <v>1.0800000429153442</v>
      </c>
      <c r="E32" s="28">
        <v>1.1100000000000001</v>
      </c>
      <c r="F32" s="28">
        <v>1.1399999999999999</v>
      </c>
      <c r="G32" s="28">
        <v>1.17</v>
      </c>
      <c r="H32" s="28">
        <v>1.2</v>
      </c>
      <c r="I32" s="28">
        <v>1.23</v>
      </c>
      <c r="J32" s="28">
        <v>1.26</v>
      </c>
      <c r="K32" s="29">
        <v>1.2999999523162842</v>
      </c>
      <c r="M32" s="587"/>
      <c r="N32" s="27">
        <v>190</v>
      </c>
      <c r="O32" s="28">
        <v>0.88999998569488525</v>
      </c>
      <c r="P32" s="28">
        <v>0.92</v>
      </c>
      <c r="Q32" s="28">
        <v>0.96</v>
      </c>
      <c r="R32" s="28">
        <v>1</v>
      </c>
      <c r="S32" s="28">
        <v>1.03</v>
      </c>
      <c r="T32" s="28">
        <v>1.07</v>
      </c>
      <c r="U32" s="28">
        <v>1.1100000000000001</v>
      </c>
      <c r="V32" s="29">
        <v>1.1499999761581421</v>
      </c>
    </row>
    <row r="33" spans="2:22" ht="15" thickBot="1">
      <c r="B33" s="588"/>
      <c r="C33" s="33">
        <v>200</v>
      </c>
      <c r="D33" s="34">
        <v>1.0299999713897705</v>
      </c>
      <c r="E33" s="34">
        <v>1.06</v>
      </c>
      <c r="F33" s="34">
        <v>1.0900000000000001</v>
      </c>
      <c r="G33" s="35">
        <v>1.1200000000000001</v>
      </c>
      <c r="H33" s="34">
        <v>1.1499999999999999</v>
      </c>
      <c r="I33" s="34">
        <v>1.18</v>
      </c>
      <c r="J33" s="34">
        <v>1.21</v>
      </c>
      <c r="K33" s="36">
        <v>1.25</v>
      </c>
      <c r="M33" s="588"/>
      <c r="N33" s="33">
        <v>200</v>
      </c>
      <c r="O33" s="34">
        <v>0.80000001192092896</v>
      </c>
      <c r="P33" s="34">
        <v>0.84</v>
      </c>
      <c r="Q33" s="34">
        <v>0.88</v>
      </c>
      <c r="R33" s="35">
        <v>0.92</v>
      </c>
      <c r="S33" s="34">
        <v>0.97</v>
      </c>
      <c r="T33" s="34">
        <v>1.01</v>
      </c>
      <c r="U33" s="34">
        <v>1.05</v>
      </c>
      <c r="V33" s="36">
        <v>1.1000000238418579</v>
      </c>
    </row>
    <row r="34" spans="2:22" ht="15" thickBot="1"/>
    <row r="35" spans="2:22" ht="16" thickBot="1">
      <c r="B35" s="585" t="s">
        <v>465</v>
      </c>
      <c r="C35" s="578"/>
      <c r="D35" s="577" t="s">
        <v>462</v>
      </c>
      <c r="E35" s="577"/>
      <c r="F35" s="577"/>
      <c r="G35" s="577"/>
      <c r="H35" s="577"/>
      <c r="I35" s="577"/>
      <c r="J35" s="577"/>
      <c r="K35" s="578"/>
      <c r="M35" s="585" t="s">
        <v>465</v>
      </c>
      <c r="N35" s="578"/>
      <c r="O35" s="577" t="s">
        <v>462</v>
      </c>
      <c r="P35" s="577"/>
      <c r="Q35" s="577"/>
      <c r="R35" s="577"/>
      <c r="S35" s="577"/>
      <c r="T35" s="577"/>
      <c r="U35" s="577"/>
      <c r="V35" s="578"/>
    </row>
    <row r="36" spans="2:22">
      <c r="B36" s="569" t="s">
        <v>470</v>
      </c>
      <c r="C36" s="569" t="s">
        <v>463</v>
      </c>
      <c r="D36" s="579" t="s">
        <v>464</v>
      </c>
      <c r="E36" s="580"/>
      <c r="F36" s="580"/>
      <c r="G36" s="580"/>
      <c r="H36" s="580"/>
      <c r="I36" s="580"/>
      <c r="J36" s="580"/>
      <c r="K36" s="581"/>
      <c r="M36" s="568" t="s">
        <v>470</v>
      </c>
      <c r="N36" s="569" t="s">
        <v>463</v>
      </c>
      <c r="O36" s="579" t="s">
        <v>464</v>
      </c>
      <c r="P36" s="580"/>
      <c r="Q36" s="580"/>
      <c r="R36" s="580"/>
      <c r="S36" s="580"/>
      <c r="T36" s="580"/>
      <c r="U36" s="580"/>
      <c r="V36" s="581"/>
    </row>
    <row r="37" spans="2:22" ht="15" thickBot="1">
      <c r="B37" s="569"/>
      <c r="C37" s="569"/>
      <c r="D37" s="582"/>
      <c r="E37" s="583"/>
      <c r="F37" s="583"/>
      <c r="G37" s="583"/>
      <c r="H37" s="583"/>
      <c r="I37" s="583"/>
      <c r="J37" s="583"/>
      <c r="K37" s="584"/>
      <c r="M37" s="569"/>
      <c r="N37" s="569"/>
      <c r="O37" s="582"/>
      <c r="P37" s="583"/>
      <c r="Q37" s="583"/>
      <c r="R37" s="583"/>
      <c r="S37" s="583"/>
      <c r="T37" s="583"/>
      <c r="U37" s="583"/>
      <c r="V37" s="584"/>
    </row>
    <row r="38" spans="2:22" ht="15" thickBot="1">
      <c r="B38" s="570"/>
      <c r="C38" s="569"/>
      <c r="D38" s="22">
        <v>0</v>
      </c>
      <c r="E38" s="22">
        <v>500</v>
      </c>
      <c r="F38" s="22">
        <v>1000</v>
      </c>
      <c r="G38" s="22">
        <v>1500</v>
      </c>
      <c r="H38" s="22">
        <v>2000</v>
      </c>
      <c r="I38" s="22">
        <v>2500</v>
      </c>
      <c r="J38" s="22">
        <v>3000</v>
      </c>
      <c r="K38" s="23">
        <v>3500</v>
      </c>
      <c r="M38" s="570"/>
      <c r="N38" s="570"/>
      <c r="O38" s="22">
        <v>0</v>
      </c>
      <c r="P38" s="22">
        <v>500</v>
      </c>
      <c r="Q38" s="22">
        <v>1000</v>
      </c>
      <c r="R38" s="22">
        <v>1500</v>
      </c>
      <c r="S38" s="22">
        <v>2000</v>
      </c>
      <c r="T38" s="22">
        <v>2500</v>
      </c>
      <c r="U38" s="22">
        <v>3000</v>
      </c>
      <c r="V38" s="23">
        <v>3500</v>
      </c>
    </row>
    <row r="39" spans="2:22">
      <c r="B39" s="586" t="s">
        <v>467</v>
      </c>
      <c r="C39" s="24">
        <v>100</v>
      </c>
      <c r="D39" s="25">
        <v>1.9700000286102295</v>
      </c>
      <c r="E39" s="25">
        <v>2</v>
      </c>
      <c r="F39" s="25">
        <v>2.0299999999999998</v>
      </c>
      <c r="G39" s="25">
        <v>2.06</v>
      </c>
      <c r="H39" s="25">
        <v>2.1</v>
      </c>
      <c r="I39" s="25">
        <v>2.13</v>
      </c>
      <c r="J39" s="25">
        <v>2.16</v>
      </c>
      <c r="K39" s="26">
        <v>2.2000000476837158</v>
      </c>
      <c r="M39" s="586" t="s">
        <v>468</v>
      </c>
      <c r="N39" s="24">
        <v>100</v>
      </c>
      <c r="O39" s="25">
        <v>1.8400000333786011</v>
      </c>
      <c r="P39" s="25">
        <v>1.87</v>
      </c>
      <c r="Q39" s="25">
        <v>1.9</v>
      </c>
      <c r="R39" s="25">
        <v>1.93</v>
      </c>
      <c r="S39" s="25">
        <v>1.97</v>
      </c>
      <c r="T39" s="25">
        <v>2</v>
      </c>
      <c r="U39" s="25">
        <v>2.0299999999999998</v>
      </c>
      <c r="V39" s="26">
        <v>2.0699999332427979</v>
      </c>
    </row>
    <row r="40" spans="2:22">
      <c r="B40" s="587"/>
      <c r="C40" s="27">
        <v>110</v>
      </c>
      <c r="D40" s="28">
        <v>1.8600000143051147</v>
      </c>
      <c r="E40" s="28">
        <v>1.89</v>
      </c>
      <c r="F40" s="28">
        <v>1.92</v>
      </c>
      <c r="G40" s="28">
        <v>1.96</v>
      </c>
      <c r="H40" s="28">
        <v>1.99</v>
      </c>
      <c r="I40" s="28">
        <v>2.0299999999999998</v>
      </c>
      <c r="J40" s="28">
        <v>2.06</v>
      </c>
      <c r="K40" s="29">
        <v>2.0999999046325684</v>
      </c>
      <c r="M40" s="587"/>
      <c r="N40" s="27">
        <v>110</v>
      </c>
      <c r="O40" s="28">
        <v>1.7400000095367432</v>
      </c>
      <c r="P40" s="28">
        <v>1.77</v>
      </c>
      <c r="Q40" s="28">
        <v>1.8</v>
      </c>
      <c r="R40" s="28">
        <v>1.83</v>
      </c>
      <c r="S40" s="28">
        <v>1.87</v>
      </c>
      <c r="T40" s="28">
        <v>1.9</v>
      </c>
      <c r="U40" s="28">
        <v>1.93</v>
      </c>
      <c r="V40" s="29">
        <v>1.9700000286102295</v>
      </c>
    </row>
    <row r="41" spans="2:22">
      <c r="B41" s="587"/>
      <c r="C41" s="30">
        <v>120</v>
      </c>
      <c r="D41" s="31">
        <v>1.7699999809265137</v>
      </c>
      <c r="E41" s="31">
        <v>1.8</v>
      </c>
      <c r="F41" s="31">
        <v>1.83</v>
      </c>
      <c r="G41" s="31">
        <v>1.86</v>
      </c>
      <c r="H41" s="31">
        <v>1.9</v>
      </c>
      <c r="I41" s="31">
        <v>1.93</v>
      </c>
      <c r="J41" s="31">
        <v>1.96</v>
      </c>
      <c r="K41" s="32">
        <v>2</v>
      </c>
      <c r="M41" s="587"/>
      <c r="N41" s="30">
        <v>120</v>
      </c>
      <c r="O41" s="31">
        <v>1.6200000047683716</v>
      </c>
      <c r="P41" s="31">
        <v>1.65</v>
      </c>
      <c r="Q41" s="31">
        <v>1.69</v>
      </c>
      <c r="R41" s="31">
        <v>1.72</v>
      </c>
      <c r="S41" s="31">
        <v>1.76</v>
      </c>
      <c r="T41" s="31">
        <v>1.79</v>
      </c>
      <c r="U41" s="31">
        <v>1.83</v>
      </c>
      <c r="V41" s="32">
        <v>1.8700000047683716</v>
      </c>
    </row>
    <row r="42" spans="2:22">
      <c r="B42" s="587"/>
      <c r="C42" s="27">
        <v>130</v>
      </c>
      <c r="D42" s="28">
        <v>1.6799999475479126</v>
      </c>
      <c r="E42" s="28">
        <v>1.71</v>
      </c>
      <c r="F42" s="28">
        <v>1.74</v>
      </c>
      <c r="G42" s="28">
        <v>1.77</v>
      </c>
      <c r="H42" s="28">
        <v>1.81</v>
      </c>
      <c r="I42" s="28">
        <v>1.84</v>
      </c>
      <c r="J42" s="28">
        <v>1.87</v>
      </c>
      <c r="K42" s="29">
        <v>1.9099999666213989</v>
      </c>
      <c r="M42" s="587"/>
      <c r="N42" s="27">
        <v>130</v>
      </c>
      <c r="O42" s="28">
        <v>1.5099999904632568</v>
      </c>
      <c r="P42" s="28">
        <v>1.54</v>
      </c>
      <c r="Q42" s="28">
        <v>1.58</v>
      </c>
      <c r="R42" s="28">
        <v>1.62</v>
      </c>
      <c r="S42" s="28">
        <v>1.66</v>
      </c>
      <c r="T42" s="28">
        <v>1.7</v>
      </c>
      <c r="U42" s="28">
        <v>1.74</v>
      </c>
      <c r="V42" s="29">
        <v>1.7899999618530273</v>
      </c>
    </row>
    <row r="43" spans="2:22">
      <c r="B43" s="587"/>
      <c r="C43" s="30">
        <v>140</v>
      </c>
      <c r="D43" s="31">
        <v>1.5900000333786011</v>
      </c>
      <c r="E43" s="31">
        <v>1.62</v>
      </c>
      <c r="F43" s="31">
        <v>1.65</v>
      </c>
      <c r="G43" s="31">
        <v>1.69</v>
      </c>
      <c r="H43" s="31">
        <v>1.72</v>
      </c>
      <c r="I43" s="31">
        <v>1.76</v>
      </c>
      <c r="J43" s="31">
        <v>1.79</v>
      </c>
      <c r="K43" s="32">
        <v>1.8300000429153442</v>
      </c>
      <c r="M43" s="587"/>
      <c r="N43" s="30">
        <v>140</v>
      </c>
      <c r="O43" s="31">
        <v>1.4299999475479126</v>
      </c>
      <c r="P43" s="31">
        <v>1.46</v>
      </c>
      <c r="Q43" s="31">
        <v>1.5</v>
      </c>
      <c r="R43" s="31">
        <v>1.54</v>
      </c>
      <c r="S43" s="31">
        <v>1.58</v>
      </c>
      <c r="T43" s="31">
        <v>1.63</v>
      </c>
      <c r="U43" s="31">
        <v>1.67</v>
      </c>
      <c r="V43" s="32">
        <v>1.7100000381469727</v>
      </c>
    </row>
    <row r="44" spans="2:22">
      <c r="B44" s="587"/>
      <c r="C44" s="27">
        <v>150</v>
      </c>
      <c r="D44" s="28">
        <v>1.4900000095367432</v>
      </c>
      <c r="E44" s="28">
        <v>1.52</v>
      </c>
      <c r="F44" s="28">
        <v>1.56</v>
      </c>
      <c r="G44" s="28">
        <v>1.6</v>
      </c>
      <c r="H44" s="28">
        <v>1.64</v>
      </c>
      <c r="I44" s="28">
        <v>1.68</v>
      </c>
      <c r="J44" s="28">
        <v>1.72</v>
      </c>
      <c r="K44" s="29">
        <v>1.7599999904632568</v>
      </c>
      <c r="M44" s="587"/>
      <c r="N44" s="27">
        <v>150</v>
      </c>
      <c r="O44" s="28">
        <v>1.3500000238418579</v>
      </c>
      <c r="P44" s="28">
        <v>1.38</v>
      </c>
      <c r="Q44" s="28">
        <v>1.42</v>
      </c>
      <c r="R44" s="28">
        <v>1.46</v>
      </c>
      <c r="S44" s="28">
        <v>1.49</v>
      </c>
      <c r="T44" s="28">
        <v>1.53</v>
      </c>
      <c r="U44" s="28">
        <v>1.57</v>
      </c>
      <c r="V44" s="29">
        <v>1.6100000143051147</v>
      </c>
    </row>
    <row r="45" spans="2:22">
      <c r="B45" s="587"/>
      <c r="C45" s="30">
        <v>160</v>
      </c>
      <c r="D45" s="31">
        <v>1.3999999761581421</v>
      </c>
      <c r="E45" s="31">
        <v>1.44</v>
      </c>
      <c r="F45" s="31">
        <v>1.48</v>
      </c>
      <c r="G45" s="31">
        <v>1.52</v>
      </c>
      <c r="H45" s="31">
        <v>1.57</v>
      </c>
      <c r="I45" s="31">
        <v>1.61</v>
      </c>
      <c r="J45" s="31">
        <v>1.65</v>
      </c>
      <c r="K45" s="32">
        <v>1.7000000476837158</v>
      </c>
      <c r="M45" s="587"/>
      <c r="N45" s="30">
        <v>160</v>
      </c>
      <c r="O45" s="31">
        <v>1.2599999904632568</v>
      </c>
      <c r="P45" s="31">
        <v>1.29</v>
      </c>
      <c r="Q45" s="31">
        <v>1.33</v>
      </c>
      <c r="R45" s="31">
        <v>1.37</v>
      </c>
      <c r="S45" s="31">
        <v>1.4</v>
      </c>
      <c r="T45" s="31">
        <v>1.44</v>
      </c>
      <c r="U45" s="31">
        <v>1.48</v>
      </c>
      <c r="V45" s="32">
        <v>1.5199999809265137</v>
      </c>
    </row>
    <row r="46" spans="2:22">
      <c r="B46" s="587"/>
      <c r="C46" s="27">
        <v>170</v>
      </c>
      <c r="D46" s="28">
        <v>1.3300000429153442</v>
      </c>
      <c r="E46" s="28">
        <v>1.37</v>
      </c>
      <c r="F46" s="28">
        <v>1.41</v>
      </c>
      <c r="G46" s="28">
        <v>1.45</v>
      </c>
      <c r="H46" s="28">
        <v>1.49</v>
      </c>
      <c r="I46" s="28">
        <v>1.53</v>
      </c>
      <c r="J46" s="28">
        <v>1.57</v>
      </c>
      <c r="K46" s="29">
        <v>1.6100000143051147</v>
      </c>
      <c r="M46" s="587"/>
      <c r="N46" s="27">
        <v>170</v>
      </c>
      <c r="O46" s="28">
        <v>1.1799999475479126</v>
      </c>
      <c r="P46" s="28">
        <v>1.21</v>
      </c>
      <c r="Q46" s="28">
        <v>1.25</v>
      </c>
      <c r="R46" s="28">
        <v>1.29</v>
      </c>
      <c r="S46" s="28">
        <v>1.33</v>
      </c>
      <c r="T46" s="28">
        <v>1.37</v>
      </c>
      <c r="U46" s="28">
        <v>1.41</v>
      </c>
      <c r="V46" s="29">
        <v>1.4500000476837158</v>
      </c>
    </row>
    <row r="47" spans="2:22">
      <c r="B47" s="587"/>
      <c r="C47" s="30">
        <v>180</v>
      </c>
      <c r="D47" s="31">
        <v>1.2699999809265137</v>
      </c>
      <c r="E47" s="31">
        <v>1.3</v>
      </c>
      <c r="F47" s="31">
        <v>1.34</v>
      </c>
      <c r="G47" s="31">
        <v>1.38</v>
      </c>
      <c r="H47" s="31">
        <v>1.41</v>
      </c>
      <c r="I47" s="31">
        <v>1.45</v>
      </c>
      <c r="J47" s="31">
        <v>1.49</v>
      </c>
      <c r="K47" s="32">
        <v>1.5299999713897705</v>
      </c>
      <c r="M47" s="587"/>
      <c r="N47" s="30">
        <v>180</v>
      </c>
      <c r="O47" s="31">
        <v>1.1100000143051147</v>
      </c>
      <c r="P47" s="31">
        <v>1.1399999999999999</v>
      </c>
      <c r="Q47" s="31">
        <v>1.18</v>
      </c>
      <c r="R47" s="31">
        <v>1.22</v>
      </c>
      <c r="S47" s="31">
        <v>1.26</v>
      </c>
      <c r="T47" s="31">
        <v>1.3</v>
      </c>
      <c r="U47" s="31">
        <v>1.34</v>
      </c>
      <c r="V47" s="32">
        <v>1.3799999952316284</v>
      </c>
    </row>
    <row r="48" spans="2:22">
      <c r="B48" s="587"/>
      <c r="C48" s="27">
        <v>190</v>
      </c>
      <c r="D48" s="28">
        <v>1.2100000381469727</v>
      </c>
      <c r="E48" s="28">
        <v>1.24</v>
      </c>
      <c r="F48" s="28">
        <v>1.28</v>
      </c>
      <c r="G48" s="28">
        <v>1.31</v>
      </c>
      <c r="H48" s="28">
        <v>1.35</v>
      </c>
      <c r="I48" s="28">
        <v>1.38</v>
      </c>
      <c r="J48" s="28">
        <v>1.42</v>
      </c>
      <c r="K48" s="29">
        <v>1.4600000381469727</v>
      </c>
      <c r="M48" s="587"/>
      <c r="N48" s="27">
        <v>190</v>
      </c>
      <c r="O48" s="28">
        <v>1.0499999523162842</v>
      </c>
      <c r="P48" s="28">
        <v>1.08</v>
      </c>
      <c r="Q48" s="28">
        <v>1.1200000000000001</v>
      </c>
      <c r="R48" s="28">
        <v>1.1599999999999999</v>
      </c>
      <c r="S48" s="28">
        <v>1.19</v>
      </c>
      <c r="T48" s="28">
        <v>1.23</v>
      </c>
      <c r="U48" s="28">
        <v>1.27</v>
      </c>
      <c r="V48" s="29">
        <v>1.309999942779541</v>
      </c>
    </row>
    <row r="49" spans="2:22" ht="15" thickBot="1">
      <c r="B49" s="588"/>
      <c r="C49" s="33">
        <v>200</v>
      </c>
      <c r="D49" s="34">
        <v>1.1499999761581421</v>
      </c>
      <c r="E49" s="34">
        <v>1.18</v>
      </c>
      <c r="F49" s="34">
        <v>1.22</v>
      </c>
      <c r="G49" s="35">
        <v>1.25</v>
      </c>
      <c r="H49" s="34">
        <v>1.29</v>
      </c>
      <c r="I49" s="34">
        <v>1.32</v>
      </c>
      <c r="J49" s="34">
        <v>1.36</v>
      </c>
      <c r="K49" s="36">
        <v>1.3999999761581421</v>
      </c>
      <c r="M49" s="588"/>
      <c r="N49" s="33">
        <v>200</v>
      </c>
      <c r="O49" s="34">
        <v>1</v>
      </c>
      <c r="P49" s="34">
        <v>1.03</v>
      </c>
      <c r="Q49" s="34">
        <v>1.07</v>
      </c>
      <c r="R49" s="35">
        <v>1.1000000000000001</v>
      </c>
      <c r="S49" s="34">
        <v>1.1399999999999999</v>
      </c>
      <c r="T49" s="34">
        <v>1.17</v>
      </c>
      <c r="U49" s="34">
        <v>1.21</v>
      </c>
      <c r="V49" s="36">
        <v>1.25</v>
      </c>
    </row>
    <row r="50" spans="2:22" ht="15" thickBot="1"/>
    <row r="51" spans="2:22" ht="16" thickBot="1">
      <c r="B51" s="585" t="s">
        <v>465</v>
      </c>
      <c r="C51" s="578"/>
      <c r="D51" s="577" t="s">
        <v>462</v>
      </c>
      <c r="E51" s="577"/>
      <c r="F51" s="577"/>
      <c r="G51" s="577"/>
      <c r="H51" s="577"/>
      <c r="I51" s="577"/>
      <c r="J51" s="577"/>
      <c r="K51" s="578"/>
      <c r="M51" s="585" t="s">
        <v>465</v>
      </c>
      <c r="N51" s="578"/>
      <c r="O51" s="577" t="s">
        <v>462</v>
      </c>
      <c r="P51" s="577"/>
      <c r="Q51" s="577"/>
      <c r="R51" s="577"/>
      <c r="S51" s="577"/>
      <c r="T51" s="577"/>
      <c r="U51" s="577"/>
      <c r="V51" s="578"/>
    </row>
    <row r="52" spans="2:22">
      <c r="B52" s="569" t="s">
        <v>471</v>
      </c>
      <c r="C52" s="569" t="s">
        <v>463</v>
      </c>
      <c r="D52" s="579" t="s">
        <v>464</v>
      </c>
      <c r="E52" s="580"/>
      <c r="F52" s="580"/>
      <c r="G52" s="580"/>
      <c r="H52" s="580"/>
      <c r="I52" s="580"/>
      <c r="J52" s="580"/>
      <c r="K52" s="581"/>
      <c r="M52" s="568" t="s">
        <v>471</v>
      </c>
      <c r="N52" s="569" t="s">
        <v>463</v>
      </c>
      <c r="O52" s="579" t="s">
        <v>464</v>
      </c>
      <c r="P52" s="580"/>
      <c r="Q52" s="580"/>
      <c r="R52" s="580"/>
      <c r="S52" s="580"/>
      <c r="T52" s="580"/>
      <c r="U52" s="580"/>
      <c r="V52" s="581"/>
    </row>
    <row r="53" spans="2:22" ht="15" thickBot="1">
      <c r="B53" s="569"/>
      <c r="C53" s="569"/>
      <c r="D53" s="582"/>
      <c r="E53" s="583"/>
      <c r="F53" s="583"/>
      <c r="G53" s="583"/>
      <c r="H53" s="583"/>
      <c r="I53" s="583"/>
      <c r="J53" s="583"/>
      <c r="K53" s="584"/>
      <c r="M53" s="569"/>
      <c r="N53" s="569"/>
      <c r="O53" s="582"/>
      <c r="P53" s="583"/>
      <c r="Q53" s="583"/>
      <c r="R53" s="583"/>
      <c r="S53" s="583"/>
      <c r="T53" s="583"/>
      <c r="U53" s="583"/>
      <c r="V53" s="584"/>
    </row>
    <row r="54" spans="2:22" ht="15" thickBot="1">
      <c r="B54" s="570"/>
      <c r="C54" s="569"/>
      <c r="D54" s="22">
        <v>0</v>
      </c>
      <c r="E54" s="22">
        <v>500</v>
      </c>
      <c r="F54" s="22">
        <v>1000</v>
      </c>
      <c r="G54" s="22">
        <v>1500</v>
      </c>
      <c r="H54" s="22">
        <v>2000</v>
      </c>
      <c r="I54" s="22">
        <v>2500</v>
      </c>
      <c r="J54" s="22">
        <v>3000</v>
      </c>
      <c r="K54" s="23">
        <v>3500</v>
      </c>
      <c r="M54" s="570"/>
      <c r="N54" s="570"/>
      <c r="O54" s="22">
        <v>0</v>
      </c>
      <c r="P54" s="22">
        <v>500</v>
      </c>
      <c r="Q54" s="22">
        <v>1000</v>
      </c>
      <c r="R54" s="22">
        <v>1500</v>
      </c>
      <c r="S54" s="22">
        <v>2000</v>
      </c>
      <c r="T54" s="22">
        <v>2500</v>
      </c>
      <c r="U54" s="22">
        <v>3000</v>
      </c>
      <c r="V54" s="23">
        <v>3500</v>
      </c>
    </row>
    <row r="55" spans="2:22">
      <c r="B55" s="586" t="s">
        <v>467</v>
      </c>
      <c r="C55" s="24">
        <v>100</v>
      </c>
      <c r="D55" s="25">
        <v>2.0499999523162842</v>
      </c>
      <c r="E55" s="25">
        <v>2.08</v>
      </c>
      <c r="F55" s="25">
        <v>2.11</v>
      </c>
      <c r="G55" s="25">
        <v>2.15</v>
      </c>
      <c r="H55" s="25">
        <v>2.1800000000000002</v>
      </c>
      <c r="I55" s="25">
        <v>2.2200000000000002</v>
      </c>
      <c r="J55" s="25">
        <v>2.25</v>
      </c>
      <c r="K55" s="26">
        <v>2.2899999618530273</v>
      </c>
      <c r="M55" s="586" t="s">
        <v>468</v>
      </c>
      <c r="N55" s="24">
        <v>100</v>
      </c>
      <c r="O55" s="25">
        <v>1.9299999475479126</v>
      </c>
      <c r="P55" s="25">
        <v>1.96</v>
      </c>
      <c r="Q55" s="25">
        <v>1.99</v>
      </c>
      <c r="R55" s="25">
        <v>2.02</v>
      </c>
      <c r="S55" s="25">
        <v>2.0499999999999998</v>
      </c>
      <c r="T55" s="25">
        <v>2.08</v>
      </c>
      <c r="U55" s="25">
        <v>2.11</v>
      </c>
      <c r="V55" s="26">
        <v>2.1500000953674316</v>
      </c>
    </row>
    <row r="56" spans="2:22">
      <c r="B56" s="587"/>
      <c r="C56" s="27">
        <v>110</v>
      </c>
      <c r="D56" s="28">
        <v>1.9500000476837158</v>
      </c>
      <c r="E56" s="28">
        <v>1.98</v>
      </c>
      <c r="F56" s="28">
        <v>2.0099999999999998</v>
      </c>
      <c r="G56" s="28">
        <v>2.04</v>
      </c>
      <c r="H56" s="28">
        <v>2.08</v>
      </c>
      <c r="I56" s="28">
        <v>2.11</v>
      </c>
      <c r="J56" s="28">
        <v>2.14</v>
      </c>
      <c r="K56" s="29">
        <v>2.1800000667572021</v>
      </c>
      <c r="M56" s="587"/>
      <c r="N56" s="27">
        <v>110</v>
      </c>
      <c r="O56" s="28">
        <v>1.8300000429153442</v>
      </c>
      <c r="P56" s="28">
        <v>1.86</v>
      </c>
      <c r="Q56" s="28">
        <v>1.89</v>
      </c>
      <c r="R56" s="28">
        <v>1.92</v>
      </c>
      <c r="S56" s="28">
        <v>1.95</v>
      </c>
      <c r="T56" s="28">
        <v>1.98</v>
      </c>
      <c r="U56" s="28">
        <v>2.0099999999999998</v>
      </c>
      <c r="V56" s="29">
        <v>2.0499999523162842</v>
      </c>
    </row>
    <row r="57" spans="2:22">
      <c r="B57" s="587"/>
      <c r="C57" s="30">
        <v>120</v>
      </c>
      <c r="D57" s="31">
        <v>1.8500000238418579</v>
      </c>
      <c r="E57" s="31">
        <v>1.88</v>
      </c>
      <c r="F57" s="31">
        <v>1.91</v>
      </c>
      <c r="G57" s="31">
        <v>1.94</v>
      </c>
      <c r="H57" s="31">
        <v>1.98</v>
      </c>
      <c r="I57" s="31">
        <v>2.0099999999999998</v>
      </c>
      <c r="J57" s="31">
        <v>2.04</v>
      </c>
      <c r="K57" s="32">
        <v>2.0799999237060547</v>
      </c>
      <c r="M57" s="587"/>
      <c r="N57" s="30">
        <v>120</v>
      </c>
      <c r="O57" s="31">
        <v>1.7300000190734863</v>
      </c>
      <c r="P57" s="31">
        <v>1.76</v>
      </c>
      <c r="Q57" s="31">
        <v>1.79</v>
      </c>
      <c r="R57" s="31">
        <v>1.82</v>
      </c>
      <c r="S57" s="31">
        <v>1.86</v>
      </c>
      <c r="T57" s="31">
        <v>1.89</v>
      </c>
      <c r="U57" s="31">
        <v>1.92</v>
      </c>
      <c r="V57" s="32">
        <v>1.9600000381469727</v>
      </c>
    </row>
    <row r="58" spans="2:22">
      <c r="B58" s="587"/>
      <c r="C58" s="27">
        <v>130</v>
      </c>
      <c r="D58" s="28">
        <v>1.7699999809265137</v>
      </c>
      <c r="E58" s="28">
        <v>1.8</v>
      </c>
      <c r="F58" s="28">
        <v>1.83</v>
      </c>
      <c r="G58" s="28">
        <v>1.86</v>
      </c>
      <c r="H58" s="28">
        <v>1.9</v>
      </c>
      <c r="I58" s="28">
        <v>1.93</v>
      </c>
      <c r="J58" s="28">
        <v>1.96</v>
      </c>
      <c r="K58" s="29">
        <v>2</v>
      </c>
      <c r="M58" s="587"/>
      <c r="N58" s="27">
        <v>130</v>
      </c>
      <c r="O58" s="28">
        <v>1.6200000047683716</v>
      </c>
      <c r="P58" s="28">
        <v>1.65</v>
      </c>
      <c r="Q58" s="28">
        <v>1.69</v>
      </c>
      <c r="R58" s="28">
        <v>1.72</v>
      </c>
      <c r="S58" s="28">
        <v>1.76</v>
      </c>
      <c r="T58" s="28">
        <v>1.79</v>
      </c>
      <c r="U58" s="28">
        <v>1.83</v>
      </c>
      <c r="V58" s="29">
        <v>1.8700000047683716</v>
      </c>
    </row>
    <row r="59" spans="2:22">
      <c r="B59" s="587"/>
      <c r="C59" s="30">
        <v>140</v>
      </c>
      <c r="D59" s="31">
        <v>1.690000057220459</v>
      </c>
      <c r="E59" s="31">
        <v>1.72</v>
      </c>
      <c r="F59" s="31">
        <v>1.75</v>
      </c>
      <c r="G59" s="31">
        <v>1.78</v>
      </c>
      <c r="H59" s="31">
        <v>1.82</v>
      </c>
      <c r="I59" s="31">
        <v>1.85</v>
      </c>
      <c r="J59" s="31">
        <v>1.88</v>
      </c>
      <c r="K59" s="32">
        <v>1.9199999570846558</v>
      </c>
      <c r="M59" s="587"/>
      <c r="N59" s="30">
        <v>140</v>
      </c>
      <c r="O59" s="31">
        <v>1.5299999713897705</v>
      </c>
      <c r="P59" s="31">
        <v>1.56</v>
      </c>
      <c r="Q59" s="31">
        <v>1.6</v>
      </c>
      <c r="R59" s="31">
        <v>1.64</v>
      </c>
      <c r="S59" s="31">
        <v>1.67</v>
      </c>
      <c r="T59" s="31">
        <v>1.71</v>
      </c>
      <c r="U59" s="31">
        <v>1.75</v>
      </c>
      <c r="V59" s="32">
        <v>1.7899999618530273</v>
      </c>
    </row>
    <row r="60" spans="2:22">
      <c r="B60" s="587"/>
      <c r="C60" s="27">
        <v>150</v>
      </c>
      <c r="D60" s="28">
        <v>1.6000000238418579</v>
      </c>
      <c r="E60" s="28">
        <v>1.63</v>
      </c>
      <c r="F60" s="28">
        <v>1.66</v>
      </c>
      <c r="G60" s="28">
        <v>1.7</v>
      </c>
      <c r="H60" s="28">
        <v>1.73</v>
      </c>
      <c r="I60" s="28">
        <v>1.77</v>
      </c>
      <c r="J60" s="28">
        <v>1.8</v>
      </c>
      <c r="K60" s="29">
        <v>1.8400000333786011</v>
      </c>
      <c r="M60" s="587"/>
      <c r="N60" s="27">
        <v>150</v>
      </c>
      <c r="O60" s="28">
        <v>1.4299999475479126</v>
      </c>
      <c r="P60" s="28">
        <v>1.46</v>
      </c>
      <c r="Q60" s="28">
        <v>1.5</v>
      </c>
      <c r="R60" s="28">
        <v>1.54</v>
      </c>
      <c r="S60" s="28">
        <v>1.58</v>
      </c>
      <c r="T60" s="28">
        <v>1.63</v>
      </c>
      <c r="U60" s="28">
        <v>1.67</v>
      </c>
      <c r="V60" s="29">
        <v>1.7100000381469727</v>
      </c>
    </row>
    <row r="61" spans="2:22">
      <c r="B61" s="587"/>
      <c r="C61" s="30">
        <v>160</v>
      </c>
      <c r="D61" s="31">
        <v>1.5</v>
      </c>
      <c r="E61" s="31">
        <v>1.53</v>
      </c>
      <c r="F61" s="31">
        <v>1.57</v>
      </c>
      <c r="G61" s="31">
        <v>1.61</v>
      </c>
      <c r="H61" s="31">
        <v>1.65</v>
      </c>
      <c r="I61" s="31">
        <v>1.69</v>
      </c>
      <c r="J61" s="31">
        <v>1.73</v>
      </c>
      <c r="K61" s="32">
        <v>1.7799999713897705</v>
      </c>
      <c r="M61" s="587"/>
      <c r="N61" s="30">
        <v>160</v>
      </c>
      <c r="O61" s="31">
        <v>1.3500000238418579</v>
      </c>
      <c r="P61" s="31">
        <v>1.39</v>
      </c>
      <c r="Q61" s="31">
        <v>1.43</v>
      </c>
      <c r="R61" s="31">
        <v>1.47</v>
      </c>
      <c r="S61" s="31">
        <v>1.51</v>
      </c>
      <c r="T61" s="31">
        <v>1.55</v>
      </c>
      <c r="U61" s="31">
        <v>1.58</v>
      </c>
      <c r="V61" s="32">
        <v>1.6299999952316284</v>
      </c>
    </row>
    <row r="62" spans="2:22">
      <c r="B62" s="587"/>
      <c r="C62" s="27">
        <v>170</v>
      </c>
      <c r="D62" s="28">
        <v>1.4299999475479126</v>
      </c>
      <c r="E62" s="28">
        <v>1.46</v>
      </c>
      <c r="F62" s="28">
        <v>1.5</v>
      </c>
      <c r="G62" s="28">
        <v>1.54</v>
      </c>
      <c r="H62" s="28">
        <v>1.58</v>
      </c>
      <c r="I62" s="28">
        <v>1.63</v>
      </c>
      <c r="J62" s="28">
        <v>1.67</v>
      </c>
      <c r="K62" s="29">
        <v>1.7100000381469727</v>
      </c>
      <c r="M62" s="587"/>
      <c r="N62" s="27">
        <v>170</v>
      </c>
      <c r="O62" s="28">
        <v>1.2799999713897705</v>
      </c>
      <c r="P62" s="28">
        <v>1.31</v>
      </c>
      <c r="Q62" s="28">
        <v>1.35</v>
      </c>
      <c r="R62" s="28">
        <v>1.39</v>
      </c>
      <c r="S62" s="28">
        <v>1.43</v>
      </c>
      <c r="T62" s="28">
        <v>1.47</v>
      </c>
      <c r="U62" s="28">
        <v>1.51</v>
      </c>
      <c r="V62" s="29">
        <v>1.5499999523162842</v>
      </c>
    </row>
    <row r="63" spans="2:22">
      <c r="B63" s="587"/>
      <c r="C63" s="30">
        <v>180</v>
      </c>
      <c r="D63" s="31">
        <v>1.3600000143051147</v>
      </c>
      <c r="E63" s="31">
        <v>1.4</v>
      </c>
      <c r="F63" s="31">
        <v>1.44</v>
      </c>
      <c r="G63" s="31">
        <v>1.48</v>
      </c>
      <c r="H63" s="31">
        <v>1.51</v>
      </c>
      <c r="I63" s="31">
        <v>1.55</v>
      </c>
      <c r="J63" s="31">
        <v>1.59</v>
      </c>
      <c r="K63" s="32">
        <v>1.6399999856948853</v>
      </c>
      <c r="M63" s="587"/>
      <c r="N63" s="30">
        <v>180</v>
      </c>
      <c r="O63" s="31">
        <v>1.2100000381469727</v>
      </c>
      <c r="P63" s="31">
        <v>1.24</v>
      </c>
      <c r="Q63" s="31">
        <v>1.28</v>
      </c>
      <c r="R63" s="31">
        <v>1.32</v>
      </c>
      <c r="S63" s="31">
        <v>1.36</v>
      </c>
      <c r="T63" s="31">
        <v>1.4</v>
      </c>
      <c r="U63" s="31">
        <v>1.44</v>
      </c>
      <c r="V63" s="32">
        <v>1.4800000190734863</v>
      </c>
    </row>
    <row r="64" spans="2:22">
      <c r="B64" s="587"/>
      <c r="C64" s="27">
        <v>190</v>
      </c>
      <c r="D64" s="28">
        <v>1.2999999523162842</v>
      </c>
      <c r="E64" s="28">
        <v>1.33</v>
      </c>
      <c r="F64" s="28">
        <v>1.37</v>
      </c>
      <c r="G64" s="28">
        <v>1.41</v>
      </c>
      <c r="H64" s="28">
        <v>1.45</v>
      </c>
      <c r="I64" s="28">
        <v>1.49</v>
      </c>
      <c r="J64" s="28">
        <v>1.53</v>
      </c>
      <c r="K64" s="29">
        <v>1.5700000524520874</v>
      </c>
      <c r="M64" s="587"/>
      <c r="N64" s="27">
        <v>190</v>
      </c>
      <c r="O64" s="28">
        <v>1.1399999856948853</v>
      </c>
      <c r="P64" s="28">
        <v>1.17</v>
      </c>
      <c r="Q64" s="28">
        <v>1.21</v>
      </c>
      <c r="R64" s="28">
        <v>1.25</v>
      </c>
      <c r="S64" s="28">
        <v>1.29</v>
      </c>
      <c r="T64" s="28">
        <v>1.33</v>
      </c>
      <c r="U64" s="28">
        <v>1.37</v>
      </c>
      <c r="V64" s="29">
        <v>1.4099999666213989</v>
      </c>
    </row>
    <row r="65" spans="2:22" ht="15" thickBot="1">
      <c r="B65" s="588"/>
      <c r="C65" s="33">
        <v>200</v>
      </c>
      <c r="D65" s="34">
        <v>1.2400000095367432</v>
      </c>
      <c r="E65" s="34">
        <v>1.27</v>
      </c>
      <c r="F65" s="34">
        <v>1.31</v>
      </c>
      <c r="G65" s="35">
        <v>1.35</v>
      </c>
      <c r="H65" s="34">
        <v>1.38</v>
      </c>
      <c r="I65" s="34">
        <v>1.42</v>
      </c>
      <c r="J65" s="34">
        <v>1.46</v>
      </c>
      <c r="K65" s="36">
        <v>1.5</v>
      </c>
      <c r="M65" s="588"/>
      <c r="N65" s="33">
        <v>200</v>
      </c>
      <c r="O65" s="34">
        <v>1.0800000429153442</v>
      </c>
      <c r="P65" s="34">
        <v>1.1100000000000001</v>
      </c>
      <c r="Q65" s="34">
        <v>1.1499999999999999</v>
      </c>
      <c r="R65" s="35">
        <v>1.19</v>
      </c>
      <c r="S65" s="34">
        <v>1.23</v>
      </c>
      <c r="T65" s="34">
        <v>1.27</v>
      </c>
      <c r="U65" s="34">
        <v>1.31</v>
      </c>
      <c r="V65" s="36">
        <v>1.3500000238418579</v>
      </c>
    </row>
    <row r="66" spans="2:22" ht="15" thickBot="1"/>
    <row r="67" spans="2:22" ht="16" thickBot="1">
      <c r="B67" s="585" t="s">
        <v>465</v>
      </c>
      <c r="C67" s="578"/>
      <c r="D67" s="577" t="s">
        <v>462</v>
      </c>
      <c r="E67" s="577"/>
      <c r="F67" s="577"/>
      <c r="G67" s="577"/>
      <c r="H67" s="577"/>
      <c r="I67" s="577"/>
      <c r="J67" s="577"/>
      <c r="K67" s="578"/>
      <c r="M67" s="585" t="s">
        <v>465</v>
      </c>
      <c r="N67" s="578"/>
      <c r="O67" s="577" t="s">
        <v>462</v>
      </c>
      <c r="P67" s="577"/>
      <c r="Q67" s="577"/>
      <c r="R67" s="577"/>
      <c r="S67" s="577"/>
      <c r="T67" s="577"/>
      <c r="U67" s="577"/>
      <c r="V67" s="578"/>
    </row>
    <row r="68" spans="2:22">
      <c r="B68" s="568" t="s">
        <v>466</v>
      </c>
      <c r="C68" s="569" t="s">
        <v>463</v>
      </c>
      <c r="D68" s="579" t="s">
        <v>464</v>
      </c>
      <c r="E68" s="580"/>
      <c r="F68" s="580"/>
      <c r="G68" s="580"/>
      <c r="H68" s="580"/>
      <c r="I68" s="580"/>
      <c r="J68" s="580"/>
      <c r="K68" s="581"/>
      <c r="M68" s="568" t="s">
        <v>466</v>
      </c>
      <c r="N68" s="569" t="s">
        <v>463</v>
      </c>
      <c r="O68" s="579" t="s">
        <v>464</v>
      </c>
      <c r="P68" s="580"/>
      <c r="Q68" s="580"/>
      <c r="R68" s="580"/>
      <c r="S68" s="580"/>
      <c r="T68" s="580"/>
      <c r="U68" s="580"/>
      <c r="V68" s="581"/>
    </row>
    <row r="69" spans="2:22" ht="15" thickBot="1">
      <c r="B69" s="569"/>
      <c r="C69" s="569"/>
      <c r="D69" s="582"/>
      <c r="E69" s="583"/>
      <c r="F69" s="583"/>
      <c r="G69" s="583"/>
      <c r="H69" s="583"/>
      <c r="I69" s="583"/>
      <c r="J69" s="583"/>
      <c r="K69" s="584"/>
      <c r="M69" s="569"/>
      <c r="N69" s="569"/>
      <c r="O69" s="582"/>
      <c r="P69" s="583"/>
      <c r="Q69" s="583"/>
      <c r="R69" s="583"/>
      <c r="S69" s="583"/>
      <c r="T69" s="583"/>
      <c r="U69" s="583"/>
      <c r="V69" s="584"/>
    </row>
    <row r="70" spans="2:22" ht="15" thickBot="1">
      <c r="B70" s="570"/>
      <c r="C70" s="570"/>
      <c r="D70" s="22">
        <v>0</v>
      </c>
      <c r="E70" s="22">
        <v>500</v>
      </c>
      <c r="F70" s="22">
        <v>1000</v>
      </c>
      <c r="G70" s="22">
        <v>1500</v>
      </c>
      <c r="H70" s="22">
        <v>2000</v>
      </c>
      <c r="I70" s="22">
        <v>2500</v>
      </c>
      <c r="J70" s="22">
        <v>3000</v>
      </c>
      <c r="K70" s="23">
        <v>3500</v>
      </c>
      <c r="M70" s="570"/>
      <c r="N70" s="570"/>
      <c r="O70" s="22">
        <v>0</v>
      </c>
      <c r="P70" s="22">
        <v>500</v>
      </c>
      <c r="Q70" s="22">
        <v>1000</v>
      </c>
      <c r="R70" s="22">
        <v>1500</v>
      </c>
      <c r="S70" s="22">
        <v>2000</v>
      </c>
      <c r="T70" s="22">
        <v>2500</v>
      </c>
      <c r="U70" s="22">
        <v>3000</v>
      </c>
      <c r="V70" s="23">
        <v>3500</v>
      </c>
    </row>
    <row r="71" spans="2:22">
      <c r="B71" s="586" t="s">
        <v>472</v>
      </c>
      <c r="C71" s="24">
        <v>100</v>
      </c>
      <c r="D71" s="25">
        <v>1.3600000143051147</v>
      </c>
      <c r="E71" s="25">
        <v>1.4</v>
      </c>
      <c r="F71" s="25">
        <v>1.44</v>
      </c>
      <c r="G71" s="25">
        <v>1.49</v>
      </c>
      <c r="H71" s="25">
        <v>1.53</v>
      </c>
      <c r="I71" s="25">
        <v>1.58</v>
      </c>
      <c r="J71" s="25">
        <v>1.62</v>
      </c>
      <c r="K71" s="26">
        <v>1.6699999570846558</v>
      </c>
      <c r="M71" s="586" t="s">
        <v>473</v>
      </c>
      <c r="N71" s="24">
        <v>100</v>
      </c>
      <c r="O71" s="25">
        <v>1.1200000047683716</v>
      </c>
      <c r="P71" s="25">
        <v>1.1599999999999999</v>
      </c>
      <c r="Q71" s="25">
        <v>1.2</v>
      </c>
      <c r="R71" s="25">
        <v>1.24</v>
      </c>
      <c r="S71" s="25">
        <v>1.28</v>
      </c>
      <c r="T71" s="25">
        <v>1.32</v>
      </c>
      <c r="U71" s="25">
        <v>1.36</v>
      </c>
      <c r="V71" s="26">
        <v>1.4099999666213989</v>
      </c>
    </row>
    <row r="72" spans="2:22">
      <c r="B72" s="587"/>
      <c r="C72" s="27">
        <v>110</v>
      </c>
      <c r="D72" s="28">
        <v>1.2300000190734863</v>
      </c>
      <c r="E72" s="28">
        <v>1.27</v>
      </c>
      <c r="F72" s="28">
        <v>1.31</v>
      </c>
      <c r="G72" s="28">
        <v>1.36</v>
      </c>
      <c r="H72" s="28">
        <v>1.4</v>
      </c>
      <c r="I72" s="28">
        <v>1.45</v>
      </c>
      <c r="J72" s="28">
        <v>1.49</v>
      </c>
      <c r="K72" s="29">
        <v>1.5399999618530273</v>
      </c>
      <c r="M72" s="587"/>
      <c r="N72" s="27">
        <v>110</v>
      </c>
      <c r="O72" s="28">
        <v>1.0099999904632568</v>
      </c>
      <c r="P72" s="28">
        <v>1.04</v>
      </c>
      <c r="Q72" s="28">
        <v>1.08</v>
      </c>
      <c r="R72" s="28">
        <v>1.1200000000000001</v>
      </c>
      <c r="S72" s="28">
        <v>1.1499999999999999</v>
      </c>
      <c r="T72" s="28">
        <v>1.19</v>
      </c>
      <c r="U72" s="28">
        <v>1.23</v>
      </c>
      <c r="V72" s="29">
        <v>1.2699999809265137</v>
      </c>
    </row>
    <row r="73" spans="2:22">
      <c r="B73" s="587"/>
      <c r="C73" s="30">
        <v>120</v>
      </c>
      <c r="D73" s="31">
        <v>1.1200000047683716</v>
      </c>
      <c r="E73" s="31">
        <v>1.1599999999999999</v>
      </c>
      <c r="F73" s="31">
        <v>1.2</v>
      </c>
      <c r="G73" s="31">
        <v>1.24</v>
      </c>
      <c r="H73" s="31">
        <v>1.28</v>
      </c>
      <c r="I73" s="31">
        <v>1.32</v>
      </c>
      <c r="J73" s="31">
        <v>1.36</v>
      </c>
      <c r="K73" s="32">
        <v>1.4099999666213989</v>
      </c>
      <c r="M73" s="587"/>
      <c r="N73" s="30">
        <v>120</v>
      </c>
      <c r="O73" s="31">
        <v>0.92000001668930054</v>
      </c>
      <c r="P73" s="31">
        <v>0.95</v>
      </c>
      <c r="Q73" s="31">
        <v>0.98</v>
      </c>
      <c r="R73" s="31">
        <v>1.02</v>
      </c>
      <c r="S73" s="31">
        <v>1.05</v>
      </c>
      <c r="T73" s="31">
        <v>1.0900000000000001</v>
      </c>
      <c r="U73" s="31">
        <v>1.1200000000000001</v>
      </c>
      <c r="V73" s="32">
        <v>1.1599999666213989</v>
      </c>
    </row>
    <row r="74" spans="2:22">
      <c r="B74" s="587"/>
      <c r="C74" s="27">
        <v>130</v>
      </c>
      <c r="D74" s="28">
        <v>1.0299999713897705</v>
      </c>
      <c r="E74" s="28">
        <v>1.06</v>
      </c>
      <c r="F74" s="28">
        <v>1.1000000000000001</v>
      </c>
      <c r="G74" s="28">
        <v>1.1399999999999999</v>
      </c>
      <c r="H74" s="28">
        <v>1.17</v>
      </c>
      <c r="I74" s="28">
        <v>1.21</v>
      </c>
      <c r="J74" s="28">
        <v>1.25</v>
      </c>
      <c r="K74" s="29">
        <v>1.2899999618530273</v>
      </c>
      <c r="M74" s="587"/>
      <c r="N74" s="27">
        <v>130</v>
      </c>
      <c r="O74" s="28">
        <v>0.8399999737739563</v>
      </c>
      <c r="P74" s="28">
        <v>0.87</v>
      </c>
      <c r="Q74" s="28">
        <v>0.9</v>
      </c>
      <c r="R74" s="28">
        <v>0.93</v>
      </c>
      <c r="S74" s="28">
        <v>0.97</v>
      </c>
      <c r="T74" s="28">
        <v>1</v>
      </c>
      <c r="U74" s="28">
        <v>1.03</v>
      </c>
      <c r="V74" s="29">
        <v>1.0700000524520874</v>
      </c>
    </row>
    <row r="75" spans="2:22">
      <c r="B75" s="587"/>
      <c r="C75" s="30">
        <v>140</v>
      </c>
      <c r="D75" s="31">
        <v>0.94999998807907104</v>
      </c>
      <c r="E75" s="31">
        <v>0.98</v>
      </c>
      <c r="F75" s="31">
        <v>1.02</v>
      </c>
      <c r="G75" s="31">
        <v>1.05</v>
      </c>
      <c r="H75" s="31">
        <v>1.0900000000000001</v>
      </c>
      <c r="I75" s="31">
        <v>1.1200000000000001</v>
      </c>
      <c r="J75" s="31">
        <v>1.1599999999999999</v>
      </c>
      <c r="K75" s="32">
        <v>1.2000000476837158</v>
      </c>
      <c r="M75" s="587"/>
      <c r="N75" s="30">
        <v>140</v>
      </c>
      <c r="O75" s="31" t="s">
        <v>114</v>
      </c>
      <c r="P75" s="31" t="s">
        <v>114</v>
      </c>
      <c r="Q75" s="31">
        <v>0.81999999284744263</v>
      </c>
      <c r="R75" s="31">
        <v>0.86000001430511475</v>
      </c>
      <c r="S75" s="31">
        <v>0.88999998569488525</v>
      </c>
      <c r="T75" s="31">
        <v>0.92000001668930054</v>
      </c>
      <c r="U75" s="31">
        <v>0.94999998807907104</v>
      </c>
      <c r="V75" s="32">
        <v>0.98000001907348633</v>
      </c>
    </row>
    <row r="76" spans="2:22">
      <c r="B76" s="587"/>
      <c r="C76" s="27">
        <v>150</v>
      </c>
      <c r="D76" s="28">
        <v>0.86000001430511475</v>
      </c>
      <c r="E76" s="28">
        <v>0.89</v>
      </c>
      <c r="F76" s="28">
        <v>0.93</v>
      </c>
      <c r="G76" s="28">
        <v>0.96</v>
      </c>
      <c r="H76" s="28">
        <v>1</v>
      </c>
      <c r="I76" s="28">
        <v>1.03</v>
      </c>
      <c r="J76" s="28">
        <v>1.07</v>
      </c>
      <c r="K76" s="29">
        <v>1.1100000143051147</v>
      </c>
      <c r="M76" s="587"/>
      <c r="N76" s="27">
        <v>150</v>
      </c>
      <c r="O76" s="28" t="s">
        <v>114</v>
      </c>
      <c r="P76" s="28" t="s">
        <v>114</v>
      </c>
      <c r="Q76" s="28" t="s">
        <v>114</v>
      </c>
      <c r="R76" s="28" t="s">
        <v>114</v>
      </c>
      <c r="S76" s="39">
        <v>0.80000001192092896</v>
      </c>
      <c r="T76" s="39">
        <v>0.85000002384185791</v>
      </c>
      <c r="U76" s="39">
        <v>0.87999999523162842</v>
      </c>
      <c r="V76" s="40">
        <v>0.9100000262260437</v>
      </c>
    </row>
    <row r="77" spans="2:22">
      <c r="B77" s="587"/>
      <c r="C77" s="30">
        <v>160</v>
      </c>
      <c r="D77" s="41" t="s">
        <v>114</v>
      </c>
      <c r="E77" s="31">
        <v>0.80000001192092896</v>
      </c>
      <c r="F77" s="31">
        <v>0.85000002384185791</v>
      </c>
      <c r="G77" s="31">
        <v>0.89999997615814209</v>
      </c>
      <c r="H77" s="31">
        <v>0.93000000715255737</v>
      </c>
      <c r="I77" s="31">
        <v>0.95999997854232788</v>
      </c>
      <c r="J77" s="31">
        <v>1</v>
      </c>
      <c r="K77" s="32">
        <v>1.0399999618530273</v>
      </c>
      <c r="M77" s="587"/>
      <c r="N77" s="30">
        <v>160</v>
      </c>
      <c r="O77" s="31" t="s">
        <v>114</v>
      </c>
      <c r="P77" s="31" t="s">
        <v>114</v>
      </c>
      <c r="Q77" s="31" t="s">
        <v>114</v>
      </c>
      <c r="R77" s="31" t="s">
        <v>114</v>
      </c>
      <c r="S77" s="31" t="s">
        <v>114</v>
      </c>
      <c r="T77" s="31" t="s">
        <v>114</v>
      </c>
      <c r="U77" s="31">
        <v>0.80000001192092896</v>
      </c>
      <c r="V77" s="32">
        <v>0.85000002384185791</v>
      </c>
    </row>
    <row r="78" spans="2:22">
      <c r="B78" s="587"/>
      <c r="C78" s="27">
        <v>170</v>
      </c>
      <c r="D78" s="28" t="s">
        <v>114</v>
      </c>
      <c r="E78" s="28" t="s">
        <v>114</v>
      </c>
      <c r="F78" s="39" t="s">
        <v>114</v>
      </c>
      <c r="G78" s="39">
        <v>0.80000001192092896</v>
      </c>
      <c r="H78" s="39">
        <v>0.85000002384185791</v>
      </c>
      <c r="I78" s="39">
        <v>0.89999997615814209</v>
      </c>
      <c r="J78" s="39">
        <v>0.93000000715255737</v>
      </c>
      <c r="K78" s="40">
        <v>0.97000002861022949</v>
      </c>
      <c r="M78" s="587"/>
      <c r="N78" s="27">
        <v>170</v>
      </c>
      <c r="O78" s="28" t="s">
        <v>114</v>
      </c>
      <c r="P78" s="28" t="s">
        <v>114</v>
      </c>
      <c r="Q78" s="28" t="s">
        <v>114</v>
      </c>
      <c r="R78" s="28" t="s">
        <v>114</v>
      </c>
      <c r="S78" s="28" t="s">
        <v>114</v>
      </c>
      <c r="T78" s="28" t="s">
        <v>114</v>
      </c>
      <c r="U78" s="28" t="s">
        <v>114</v>
      </c>
      <c r="V78" s="28" t="s">
        <v>114</v>
      </c>
    </row>
    <row r="79" spans="2:22">
      <c r="B79" s="587"/>
      <c r="C79" s="30">
        <v>180</v>
      </c>
      <c r="D79" s="31" t="s">
        <v>114</v>
      </c>
      <c r="E79" s="31" t="s">
        <v>114</v>
      </c>
      <c r="F79" s="31" t="s">
        <v>114</v>
      </c>
      <c r="G79" s="31" t="s">
        <v>114</v>
      </c>
      <c r="H79" s="31" t="s">
        <v>114</v>
      </c>
      <c r="I79" s="31">
        <v>0.80000001192092896</v>
      </c>
      <c r="J79" s="31">
        <v>0.85000002384185791</v>
      </c>
      <c r="K79" s="32">
        <v>0.9100000262260437</v>
      </c>
      <c r="M79" s="587"/>
      <c r="N79" s="30">
        <v>180</v>
      </c>
      <c r="O79" s="31" t="s">
        <v>114</v>
      </c>
      <c r="P79" s="31" t="s">
        <v>114</v>
      </c>
      <c r="Q79" s="31" t="s">
        <v>114</v>
      </c>
      <c r="R79" s="31" t="s">
        <v>114</v>
      </c>
      <c r="S79" s="31" t="s">
        <v>114</v>
      </c>
      <c r="T79" s="31" t="s">
        <v>114</v>
      </c>
      <c r="U79" s="31" t="s">
        <v>114</v>
      </c>
      <c r="V79" s="31" t="s">
        <v>114</v>
      </c>
    </row>
    <row r="80" spans="2:22">
      <c r="B80" s="587"/>
      <c r="C80" s="27">
        <v>190</v>
      </c>
      <c r="D80" s="28" t="s">
        <v>114</v>
      </c>
      <c r="E80" s="28" t="s">
        <v>114</v>
      </c>
      <c r="F80" s="28" t="s">
        <v>114</v>
      </c>
      <c r="G80" s="28" t="s">
        <v>114</v>
      </c>
      <c r="H80" s="28" t="s">
        <v>114</v>
      </c>
      <c r="I80" s="28" t="s">
        <v>114</v>
      </c>
      <c r="J80" s="28" t="s">
        <v>114</v>
      </c>
      <c r="K80" s="40">
        <v>0.82999998331069946</v>
      </c>
      <c r="M80" s="587"/>
      <c r="N80" s="27">
        <v>190</v>
      </c>
      <c r="O80" s="28" t="s">
        <v>114</v>
      </c>
      <c r="P80" s="28" t="s">
        <v>114</v>
      </c>
      <c r="Q80" s="28" t="s">
        <v>114</v>
      </c>
      <c r="R80" s="28" t="s">
        <v>114</v>
      </c>
      <c r="S80" s="28" t="s">
        <v>114</v>
      </c>
      <c r="T80" s="28" t="s">
        <v>114</v>
      </c>
      <c r="U80" s="28" t="s">
        <v>114</v>
      </c>
      <c r="V80" s="28" t="s">
        <v>114</v>
      </c>
    </row>
    <row r="81" spans="2:22" ht="15" thickBot="1">
      <c r="B81" s="588"/>
      <c r="C81" s="33">
        <v>200</v>
      </c>
      <c r="D81" s="34" t="s">
        <v>114</v>
      </c>
      <c r="E81" s="34" t="s">
        <v>114</v>
      </c>
      <c r="F81" s="34" t="s">
        <v>114</v>
      </c>
      <c r="G81" s="34" t="s">
        <v>114</v>
      </c>
      <c r="H81" s="34" t="s">
        <v>114</v>
      </c>
      <c r="I81" s="34" t="s">
        <v>114</v>
      </c>
      <c r="J81" s="34" t="s">
        <v>114</v>
      </c>
      <c r="K81" s="36" t="s">
        <v>114</v>
      </c>
      <c r="M81" s="588"/>
      <c r="N81" s="33">
        <v>200</v>
      </c>
      <c r="O81" s="34" t="s">
        <v>114</v>
      </c>
      <c r="P81" s="34" t="s">
        <v>114</v>
      </c>
      <c r="Q81" s="34" t="s">
        <v>114</v>
      </c>
      <c r="R81" s="34" t="s">
        <v>114</v>
      </c>
      <c r="S81" s="34" t="s">
        <v>114</v>
      </c>
      <c r="T81" s="34" t="s">
        <v>114</v>
      </c>
      <c r="U81" s="34" t="s">
        <v>114</v>
      </c>
      <c r="V81" s="34" t="s">
        <v>114</v>
      </c>
    </row>
    <row r="82" spans="2:22" ht="15" thickBot="1"/>
    <row r="83" spans="2:22" ht="16" thickBot="1">
      <c r="B83" s="585" t="s">
        <v>465</v>
      </c>
      <c r="C83" s="578"/>
      <c r="D83" s="577" t="s">
        <v>462</v>
      </c>
      <c r="E83" s="577"/>
      <c r="F83" s="577"/>
      <c r="G83" s="577"/>
      <c r="H83" s="577"/>
      <c r="I83" s="577"/>
      <c r="J83" s="577"/>
      <c r="K83" s="578"/>
      <c r="M83" s="585" t="s">
        <v>465</v>
      </c>
      <c r="N83" s="578"/>
      <c r="O83" s="577" t="s">
        <v>462</v>
      </c>
      <c r="P83" s="577"/>
      <c r="Q83" s="577"/>
      <c r="R83" s="577"/>
      <c r="S83" s="577"/>
      <c r="T83" s="577"/>
      <c r="U83" s="577"/>
      <c r="V83" s="578"/>
    </row>
    <row r="84" spans="2:22">
      <c r="B84" s="568" t="s">
        <v>469</v>
      </c>
      <c r="C84" s="569" t="s">
        <v>463</v>
      </c>
      <c r="D84" s="579" t="s">
        <v>464</v>
      </c>
      <c r="E84" s="580"/>
      <c r="F84" s="580"/>
      <c r="G84" s="580"/>
      <c r="H84" s="580"/>
      <c r="I84" s="580"/>
      <c r="J84" s="580"/>
      <c r="K84" s="581"/>
      <c r="M84" s="568" t="s">
        <v>469</v>
      </c>
      <c r="N84" s="569" t="s">
        <v>463</v>
      </c>
      <c r="O84" s="579" t="s">
        <v>464</v>
      </c>
      <c r="P84" s="580"/>
      <c r="Q84" s="580"/>
      <c r="R84" s="580"/>
      <c r="S84" s="580"/>
      <c r="T84" s="580"/>
      <c r="U84" s="580"/>
      <c r="V84" s="581"/>
    </row>
    <row r="85" spans="2:22" ht="15" thickBot="1">
      <c r="B85" s="569"/>
      <c r="C85" s="569"/>
      <c r="D85" s="582"/>
      <c r="E85" s="583"/>
      <c r="F85" s="583"/>
      <c r="G85" s="583"/>
      <c r="H85" s="583"/>
      <c r="I85" s="583"/>
      <c r="J85" s="583"/>
      <c r="K85" s="584"/>
      <c r="M85" s="569"/>
      <c r="N85" s="569"/>
      <c r="O85" s="582"/>
      <c r="P85" s="583"/>
      <c r="Q85" s="583"/>
      <c r="R85" s="583"/>
      <c r="S85" s="583"/>
      <c r="T85" s="583"/>
      <c r="U85" s="583"/>
      <c r="V85" s="584"/>
    </row>
    <row r="86" spans="2:22" ht="15" thickBot="1">
      <c r="B86" s="570"/>
      <c r="C86" s="570"/>
      <c r="D86" s="22">
        <v>0</v>
      </c>
      <c r="E86" s="22">
        <v>500</v>
      </c>
      <c r="F86" s="22">
        <v>1000</v>
      </c>
      <c r="G86" s="22">
        <v>1500</v>
      </c>
      <c r="H86" s="22">
        <v>2000</v>
      </c>
      <c r="I86" s="22">
        <v>2500</v>
      </c>
      <c r="J86" s="22">
        <v>3000</v>
      </c>
      <c r="K86" s="23">
        <v>3500</v>
      </c>
      <c r="M86" s="570"/>
      <c r="N86" s="570"/>
      <c r="O86" s="22">
        <v>0</v>
      </c>
      <c r="P86" s="22">
        <v>500</v>
      </c>
      <c r="Q86" s="22">
        <v>1000</v>
      </c>
      <c r="R86" s="22">
        <v>1500</v>
      </c>
      <c r="S86" s="22">
        <v>2000</v>
      </c>
      <c r="T86" s="22">
        <v>2500</v>
      </c>
      <c r="U86" s="22">
        <v>3000</v>
      </c>
      <c r="V86" s="23">
        <v>3500</v>
      </c>
    </row>
    <row r="87" spans="2:22">
      <c r="B87" s="586" t="s">
        <v>472</v>
      </c>
      <c r="C87" s="24">
        <v>100</v>
      </c>
      <c r="D87" s="25">
        <v>1.5499999523162842</v>
      </c>
      <c r="E87" s="25">
        <v>1.59</v>
      </c>
      <c r="F87" s="25">
        <v>1.63</v>
      </c>
      <c r="G87" s="25">
        <v>1.67</v>
      </c>
      <c r="H87" s="25">
        <v>1.71</v>
      </c>
      <c r="I87" s="25">
        <v>1.75</v>
      </c>
      <c r="J87" s="25">
        <v>1.79</v>
      </c>
      <c r="K87" s="26">
        <v>1.8400000333786011</v>
      </c>
      <c r="M87" s="586" t="s">
        <v>473</v>
      </c>
      <c r="N87" s="24">
        <v>100</v>
      </c>
      <c r="O87" s="25">
        <v>1.2799999713897705</v>
      </c>
      <c r="P87" s="25">
        <v>1.32</v>
      </c>
      <c r="Q87" s="25">
        <v>1.37</v>
      </c>
      <c r="R87" s="25">
        <v>1.42</v>
      </c>
      <c r="S87" s="25">
        <v>1.46</v>
      </c>
      <c r="T87" s="25">
        <v>1.51</v>
      </c>
      <c r="U87" s="25">
        <v>1.56</v>
      </c>
      <c r="V87" s="26">
        <v>1.6100000143051147</v>
      </c>
    </row>
    <row r="88" spans="2:22">
      <c r="B88" s="587"/>
      <c r="C88" s="27">
        <v>110</v>
      </c>
      <c r="D88" s="28">
        <v>1.4099999666213989</v>
      </c>
      <c r="E88" s="28">
        <v>1.45</v>
      </c>
      <c r="F88" s="28">
        <v>1.49</v>
      </c>
      <c r="G88" s="28">
        <v>1.54</v>
      </c>
      <c r="H88" s="28">
        <v>1.58</v>
      </c>
      <c r="I88" s="28">
        <v>1.63</v>
      </c>
      <c r="J88" s="28">
        <v>1.67</v>
      </c>
      <c r="K88" s="29">
        <v>1.7200000286102295</v>
      </c>
      <c r="M88" s="587"/>
      <c r="N88" s="27">
        <v>110</v>
      </c>
      <c r="O88" s="28">
        <v>1.1599999666213989</v>
      </c>
      <c r="P88" s="28">
        <v>1.2</v>
      </c>
      <c r="Q88" s="28">
        <v>1.24</v>
      </c>
      <c r="R88" s="28">
        <v>1.28</v>
      </c>
      <c r="S88" s="28">
        <v>1.33</v>
      </c>
      <c r="T88" s="28">
        <v>1.37</v>
      </c>
      <c r="U88" s="28">
        <v>1.41</v>
      </c>
      <c r="V88" s="29">
        <v>1.4600000381469727</v>
      </c>
    </row>
    <row r="89" spans="2:22">
      <c r="B89" s="587"/>
      <c r="C89" s="30">
        <v>120</v>
      </c>
      <c r="D89" s="31">
        <v>1.2799999713897705</v>
      </c>
      <c r="E89" s="31">
        <v>1.32</v>
      </c>
      <c r="F89" s="31">
        <v>1.37</v>
      </c>
      <c r="G89" s="31">
        <v>1.41</v>
      </c>
      <c r="H89" s="31">
        <v>1.46</v>
      </c>
      <c r="I89" s="31">
        <v>1.5</v>
      </c>
      <c r="J89" s="31">
        <v>1.55</v>
      </c>
      <c r="K89" s="32">
        <v>1.6000000238418579</v>
      </c>
      <c r="M89" s="587"/>
      <c r="N89" s="30">
        <v>120</v>
      </c>
      <c r="O89" s="31">
        <v>1.059999942779541</v>
      </c>
      <c r="P89" s="31">
        <v>1.0900000000000001</v>
      </c>
      <c r="Q89" s="31">
        <v>1.1299999999999999</v>
      </c>
      <c r="R89" s="31">
        <v>1.17</v>
      </c>
      <c r="S89" s="31">
        <v>1.21</v>
      </c>
      <c r="T89" s="31">
        <v>1.25</v>
      </c>
      <c r="U89" s="31">
        <v>1.29</v>
      </c>
      <c r="V89" s="32">
        <v>1.3300000429153442</v>
      </c>
    </row>
    <row r="90" spans="2:22">
      <c r="B90" s="587"/>
      <c r="C90" s="27">
        <v>130</v>
      </c>
      <c r="D90" s="28">
        <v>1.1799999475479126</v>
      </c>
      <c r="E90" s="28">
        <v>1.22</v>
      </c>
      <c r="F90" s="28">
        <v>1.26</v>
      </c>
      <c r="G90" s="28">
        <v>1.3</v>
      </c>
      <c r="H90" s="28">
        <v>1.35</v>
      </c>
      <c r="I90" s="28">
        <v>1.39</v>
      </c>
      <c r="J90" s="28">
        <v>1.43</v>
      </c>
      <c r="K90" s="29">
        <v>1.4800000190734863</v>
      </c>
      <c r="M90" s="587"/>
      <c r="N90" s="27">
        <v>130</v>
      </c>
      <c r="O90" s="28">
        <v>0.97000002861022949</v>
      </c>
      <c r="P90" s="28">
        <v>1</v>
      </c>
      <c r="Q90" s="28">
        <v>1.04</v>
      </c>
      <c r="R90" s="28">
        <v>1.07</v>
      </c>
      <c r="S90" s="28">
        <v>1.1100000000000001</v>
      </c>
      <c r="T90" s="28">
        <v>1.1399999999999999</v>
      </c>
      <c r="U90" s="28">
        <v>1.18</v>
      </c>
      <c r="V90" s="29">
        <v>1.2200000286102295</v>
      </c>
    </row>
    <row r="91" spans="2:22">
      <c r="B91" s="587"/>
      <c r="C91" s="30">
        <v>140</v>
      </c>
      <c r="D91" s="31">
        <v>1.0900000333786011</v>
      </c>
      <c r="E91" s="31">
        <v>1.1299999999999999</v>
      </c>
      <c r="F91" s="31">
        <v>1.17</v>
      </c>
      <c r="G91" s="31">
        <v>1.21</v>
      </c>
      <c r="H91" s="31">
        <v>1.25</v>
      </c>
      <c r="I91" s="31">
        <v>1.29</v>
      </c>
      <c r="J91" s="31">
        <v>1.33</v>
      </c>
      <c r="K91" s="32">
        <v>1.3700000047683716</v>
      </c>
      <c r="M91" s="587"/>
      <c r="N91" s="30">
        <v>140</v>
      </c>
      <c r="O91" s="31">
        <v>0.89999997615814209</v>
      </c>
      <c r="P91" s="31">
        <v>0.93</v>
      </c>
      <c r="Q91" s="31">
        <v>0.96</v>
      </c>
      <c r="R91" s="31">
        <v>0.99</v>
      </c>
      <c r="S91" s="31">
        <v>1.02</v>
      </c>
      <c r="T91" s="31">
        <v>1.05</v>
      </c>
      <c r="U91" s="31">
        <v>1.08</v>
      </c>
      <c r="V91" s="32">
        <v>1.1200000047683716</v>
      </c>
    </row>
    <row r="92" spans="2:22">
      <c r="B92" s="587"/>
      <c r="C92" s="27">
        <v>150</v>
      </c>
      <c r="D92" s="28">
        <v>1.0099999904632568</v>
      </c>
      <c r="E92" s="28">
        <v>1.04</v>
      </c>
      <c r="F92" s="28">
        <v>1.08</v>
      </c>
      <c r="G92" s="28">
        <v>1.1200000000000001</v>
      </c>
      <c r="H92" s="28">
        <v>1.1499999999999999</v>
      </c>
      <c r="I92" s="28">
        <v>1.19</v>
      </c>
      <c r="J92" s="28">
        <v>1.23</v>
      </c>
      <c r="K92" s="29">
        <v>1.2699999809265137</v>
      </c>
      <c r="M92" s="587"/>
      <c r="N92" s="27">
        <v>150</v>
      </c>
      <c r="O92" s="28">
        <v>0.81999999284744263</v>
      </c>
      <c r="P92" s="28">
        <v>0.85</v>
      </c>
      <c r="Q92" s="28">
        <v>0.88</v>
      </c>
      <c r="R92" s="28">
        <v>0.91</v>
      </c>
      <c r="S92" s="28">
        <v>0.95</v>
      </c>
      <c r="T92" s="28">
        <v>0.98</v>
      </c>
      <c r="U92" s="28">
        <v>1.01</v>
      </c>
      <c r="V92" s="29">
        <v>1.0499999523162842</v>
      </c>
    </row>
    <row r="93" spans="2:22">
      <c r="B93" s="587"/>
      <c r="C93" s="30">
        <v>160</v>
      </c>
      <c r="D93" s="31">
        <v>0.94999998807907104</v>
      </c>
      <c r="E93" s="31">
        <v>0.98</v>
      </c>
      <c r="F93" s="31">
        <v>1.01</v>
      </c>
      <c r="G93" s="31">
        <v>1.05</v>
      </c>
      <c r="H93" s="31">
        <v>1.08</v>
      </c>
      <c r="I93" s="31">
        <v>1.1200000000000001</v>
      </c>
      <c r="J93" s="31">
        <v>1.1499999999999999</v>
      </c>
      <c r="K93" s="32">
        <v>1.190000057220459</v>
      </c>
      <c r="M93" s="587"/>
      <c r="N93" s="30">
        <v>160</v>
      </c>
      <c r="O93" s="31" t="s">
        <v>114</v>
      </c>
      <c r="P93" s="31" t="s">
        <v>114</v>
      </c>
      <c r="Q93" s="31">
        <v>0.80000001192092896</v>
      </c>
      <c r="R93" s="31">
        <v>0.85000002384185791</v>
      </c>
      <c r="S93" s="31">
        <v>0.87999999523162842</v>
      </c>
      <c r="T93" s="31">
        <v>0.9100000262260437</v>
      </c>
      <c r="U93" s="31">
        <v>0.93999999761581421</v>
      </c>
      <c r="V93" s="32">
        <v>0.98000001907348633</v>
      </c>
    </row>
    <row r="94" spans="2:22">
      <c r="B94" s="587"/>
      <c r="C94" s="27">
        <v>170</v>
      </c>
      <c r="D94" s="28">
        <v>0.87000000476837158</v>
      </c>
      <c r="E94" s="28">
        <v>0.9</v>
      </c>
      <c r="F94" s="28">
        <v>0.93</v>
      </c>
      <c r="G94" s="28">
        <v>0.97</v>
      </c>
      <c r="H94" s="28">
        <v>1</v>
      </c>
      <c r="I94" s="28">
        <v>1.04</v>
      </c>
      <c r="J94" s="28">
        <v>1.07</v>
      </c>
      <c r="K94" s="29">
        <v>1.1100000143051147</v>
      </c>
      <c r="M94" s="587"/>
      <c r="N94" s="27">
        <v>170</v>
      </c>
      <c r="O94" s="39" t="s">
        <v>114</v>
      </c>
      <c r="P94" s="39" t="s">
        <v>114</v>
      </c>
      <c r="Q94" s="39" t="s">
        <v>114</v>
      </c>
      <c r="R94" s="39" t="s">
        <v>114</v>
      </c>
      <c r="S94" s="28">
        <v>0.80000001192092896</v>
      </c>
      <c r="T94" s="28">
        <v>0.85000002384185791</v>
      </c>
      <c r="U94" s="28">
        <v>0.87999999523162842</v>
      </c>
      <c r="V94" s="29">
        <v>0.92000001668930054</v>
      </c>
    </row>
    <row r="95" spans="2:22">
      <c r="B95" s="587"/>
      <c r="C95" s="30">
        <v>180</v>
      </c>
      <c r="D95" s="31" t="s">
        <v>114</v>
      </c>
      <c r="E95" s="31">
        <v>0.81999999284744263</v>
      </c>
      <c r="F95" s="31">
        <v>0.87000000476837158</v>
      </c>
      <c r="G95" s="31">
        <v>0.92000001668930054</v>
      </c>
      <c r="H95" s="31">
        <v>0.94999998807907104</v>
      </c>
      <c r="I95" s="31">
        <v>0.98000001907348633</v>
      </c>
      <c r="J95" s="31">
        <v>1.0099999904632568</v>
      </c>
      <c r="K95" s="32">
        <v>1.0499999523162842</v>
      </c>
      <c r="M95" s="587"/>
      <c r="N95" s="30">
        <v>180</v>
      </c>
      <c r="O95" s="31" t="s">
        <v>114</v>
      </c>
      <c r="P95" s="31" t="s">
        <v>114</v>
      </c>
      <c r="Q95" s="31" t="s">
        <v>114</v>
      </c>
      <c r="R95" s="31" t="s">
        <v>114</v>
      </c>
      <c r="S95" s="31" t="s">
        <v>114</v>
      </c>
      <c r="T95" s="31" t="s">
        <v>114</v>
      </c>
      <c r="U95" s="31">
        <v>0.80000001192092896</v>
      </c>
      <c r="V95" s="32">
        <v>0.86000001430511475</v>
      </c>
    </row>
    <row r="96" spans="2:22">
      <c r="B96" s="587"/>
      <c r="C96" s="27">
        <v>190</v>
      </c>
      <c r="D96" s="28" t="s">
        <v>114</v>
      </c>
      <c r="E96" s="28" t="s">
        <v>114</v>
      </c>
      <c r="F96" s="28" t="s">
        <v>114</v>
      </c>
      <c r="G96" s="39">
        <v>0.82999998331069946</v>
      </c>
      <c r="H96" s="28">
        <v>0.87000000476837158</v>
      </c>
      <c r="I96" s="28">
        <v>0.92000001668930054</v>
      </c>
      <c r="J96" s="28">
        <v>0.94999998807907104</v>
      </c>
      <c r="K96" s="29">
        <v>0.99000000953674316</v>
      </c>
      <c r="M96" s="587"/>
      <c r="N96" s="27">
        <v>190</v>
      </c>
      <c r="O96" s="28" t="s">
        <v>114</v>
      </c>
      <c r="P96" s="28" t="s">
        <v>114</v>
      </c>
      <c r="Q96" s="28" t="s">
        <v>114</v>
      </c>
      <c r="R96" s="28" t="s">
        <v>114</v>
      </c>
      <c r="S96" s="28" t="s">
        <v>114</v>
      </c>
      <c r="T96" s="28" t="s">
        <v>114</v>
      </c>
      <c r="U96" s="28" t="s">
        <v>114</v>
      </c>
      <c r="V96" s="29" t="s">
        <v>114</v>
      </c>
    </row>
    <row r="97" spans="2:22" ht="15" thickBot="1">
      <c r="B97" s="588"/>
      <c r="C97" s="33">
        <v>200</v>
      </c>
      <c r="D97" s="34" t="s">
        <v>114</v>
      </c>
      <c r="E97" s="34" t="s">
        <v>114</v>
      </c>
      <c r="F97" s="34" t="s">
        <v>114</v>
      </c>
      <c r="G97" s="34" t="s">
        <v>114</v>
      </c>
      <c r="H97" s="34" t="s">
        <v>114</v>
      </c>
      <c r="I97" s="34">
        <v>0.8399999737739563</v>
      </c>
      <c r="J97" s="34">
        <v>0.88999998569488525</v>
      </c>
      <c r="K97" s="36">
        <v>0.93999999761581421</v>
      </c>
      <c r="M97" s="588"/>
      <c r="N97" s="33">
        <v>200</v>
      </c>
      <c r="O97" s="34" t="s">
        <v>114</v>
      </c>
      <c r="P97" s="34" t="s">
        <v>114</v>
      </c>
      <c r="Q97" s="34" t="s">
        <v>114</v>
      </c>
      <c r="R97" s="34" t="s">
        <v>114</v>
      </c>
      <c r="S97" s="34" t="s">
        <v>114</v>
      </c>
      <c r="T97" s="34" t="s">
        <v>114</v>
      </c>
      <c r="U97" s="34" t="s">
        <v>114</v>
      </c>
      <c r="V97" s="36" t="s">
        <v>114</v>
      </c>
    </row>
    <row r="98" spans="2:22" ht="15" thickBot="1"/>
    <row r="99" spans="2:22" ht="16" thickBot="1">
      <c r="B99" s="585" t="s">
        <v>465</v>
      </c>
      <c r="C99" s="578"/>
      <c r="D99" s="577" t="s">
        <v>462</v>
      </c>
      <c r="E99" s="577"/>
      <c r="F99" s="577"/>
      <c r="G99" s="577"/>
      <c r="H99" s="577"/>
      <c r="I99" s="577"/>
      <c r="J99" s="577"/>
      <c r="K99" s="578"/>
      <c r="M99" s="585" t="s">
        <v>465</v>
      </c>
      <c r="N99" s="578"/>
      <c r="O99" s="577" t="s">
        <v>462</v>
      </c>
      <c r="P99" s="577"/>
      <c r="Q99" s="577"/>
      <c r="R99" s="577"/>
      <c r="S99" s="577"/>
      <c r="T99" s="577"/>
      <c r="U99" s="577"/>
      <c r="V99" s="578"/>
    </row>
    <row r="100" spans="2:22">
      <c r="B100" s="568" t="s">
        <v>470</v>
      </c>
      <c r="C100" s="569" t="s">
        <v>463</v>
      </c>
      <c r="D100" s="579" t="s">
        <v>464</v>
      </c>
      <c r="E100" s="580"/>
      <c r="F100" s="580"/>
      <c r="G100" s="580"/>
      <c r="H100" s="580"/>
      <c r="I100" s="580"/>
      <c r="J100" s="580"/>
      <c r="K100" s="581"/>
      <c r="M100" s="568" t="s">
        <v>470</v>
      </c>
      <c r="N100" s="569" t="s">
        <v>463</v>
      </c>
      <c r="O100" s="579" t="s">
        <v>464</v>
      </c>
      <c r="P100" s="580"/>
      <c r="Q100" s="580"/>
      <c r="R100" s="580"/>
      <c r="S100" s="580"/>
      <c r="T100" s="580"/>
      <c r="U100" s="580"/>
      <c r="V100" s="581"/>
    </row>
    <row r="101" spans="2:22" ht="15" thickBot="1">
      <c r="B101" s="569"/>
      <c r="C101" s="569"/>
      <c r="D101" s="582"/>
      <c r="E101" s="583"/>
      <c r="F101" s="583"/>
      <c r="G101" s="583"/>
      <c r="H101" s="583"/>
      <c r="I101" s="583"/>
      <c r="J101" s="583"/>
      <c r="K101" s="584"/>
      <c r="M101" s="569"/>
      <c r="N101" s="569"/>
      <c r="O101" s="582"/>
      <c r="P101" s="583"/>
      <c r="Q101" s="583"/>
      <c r="R101" s="583"/>
      <c r="S101" s="583"/>
      <c r="T101" s="583"/>
      <c r="U101" s="583"/>
      <c r="V101" s="584"/>
    </row>
    <row r="102" spans="2:22" ht="15" thickBot="1">
      <c r="B102" s="570"/>
      <c r="C102" s="570"/>
      <c r="D102" s="22">
        <v>0</v>
      </c>
      <c r="E102" s="22">
        <v>500</v>
      </c>
      <c r="F102" s="22">
        <v>1000</v>
      </c>
      <c r="G102" s="22">
        <v>1500</v>
      </c>
      <c r="H102" s="22">
        <v>2000</v>
      </c>
      <c r="I102" s="22">
        <v>2500</v>
      </c>
      <c r="J102" s="22">
        <v>3000</v>
      </c>
      <c r="K102" s="23">
        <v>3500</v>
      </c>
      <c r="M102" s="570"/>
      <c r="N102" s="570"/>
      <c r="O102" s="22">
        <v>0</v>
      </c>
      <c r="P102" s="22">
        <v>500</v>
      </c>
      <c r="Q102" s="22">
        <v>1000</v>
      </c>
      <c r="R102" s="22">
        <v>1500</v>
      </c>
      <c r="S102" s="22">
        <v>2000</v>
      </c>
      <c r="T102" s="22">
        <v>2500</v>
      </c>
      <c r="U102" s="22">
        <v>3000</v>
      </c>
      <c r="V102" s="23">
        <v>3500</v>
      </c>
    </row>
    <row r="103" spans="2:22">
      <c r="B103" s="586" t="s">
        <v>472</v>
      </c>
      <c r="C103" s="24">
        <v>100</v>
      </c>
      <c r="D103" s="25">
        <v>1.7300000190734863</v>
      </c>
      <c r="E103" s="25">
        <v>1.76</v>
      </c>
      <c r="F103" s="25">
        <v>1.79</v>
      </c>
      <c r="G103" s="25">
        <v>1.82</v>
      </c>
      <c r="H103" s="25">
        <v>1.86</v>
      </c>
      <c r="I103" s="25">
        <v>1.89</v>
      </c>
      <c r="J103" s="25">
        <v>1.92</v>
      </c>
      <c r="K103" s="26">
        <v>1.9600000381469727</v>
      </c>
      <c r="M103" s="586" t="s">
        <v>473</v>
      </c>
      <c r="N103" s="24">
        <v>100</v>
      </c>
      <c r="O103" s="25">
        <v>1.4600000381469727</v>
      </c>
      <c r="P103" s="25">
        <v>1.5</v>
      </c>
      <c r="Q103" s="25">
        <v>1.55</v>
      </c>
      <c r="R103" s="25">
        <v>1.6</v>
      </c>
      <c r="S103" s="25">
        <v>1.65</v>
      </c>
      <c r="T103" s="25">
        <v>1.7</v>
      </c>
      <c r="U103" s="25">
        <v>1.75</v>
      </c>
      <c r="V103" s="26">
        <v>1.7999999523162842</v>
      </c>
    </row>
    <row r="104" spans="2:22">
      <c r="B104" s="587"/>
      <c r="C104" s="27">
        <v>110</v>
      </c>
      <c r="D104" s="28">
        <v>1.6100000143051147</v>
      </c>
      <c r="E104" s="28">
        <v>1.64</v>
      </c>
      <c r="F104" s="28">
        <v>1.68</v>
      </c>
      <c r="G104" s="28">
        <v>1.72</v>
      </c>
      <c r="H104" s="28">
        <v>1.75</v>
      </c>
      <c r="I104" s="28">
        <v>1.79</v>
      </c>
      <c r="J104" s="28">
        <v>1.83</v>
      </c>
      <c r="K104" s="29">
        <v>1.8700000047683716</v>
      </c>
      <c r="M104" s="587"/>
      <c r="N104" s="27">
        <v>110</v>
      </c>
      <c r="O104" s="28">
        <v>1.3200000524520874</v>
      </c>
      <c r="P104" s="28">
        <v>1.37</v>
      </c>
      <c r="Q104" s="28">
        <v>1.42</v>
      </c>
      <c r="R104" s="28">
        <v>1.47</v>
      </c>
      <c r="S104" s="28">
        <v>1.51</v>
      </c>
      <c r="T104" s="28">
        <v>1.56</v>
      </c>
      <c r="U104" s="28">
        <v>1.61</v>
      </c>
      <c r="V104" s="29">
        <v>1.6699999570846558</v>
      </c>
    </row>
    <row r="105" spans="2:22">
      <c r="B105" s="587"/>
      <c r="C105" s="30">
        <v>120</v>
      </c>
      <c r="D105" s="31">
        <v>1.4700000286102295</v>
      </c>
      <c r="E105" s="31">
        <v>1.51</v>
      </c>
      <c r="F105" s="31">
        <v>1.55</v>
      </c>
      <c r="G105" s="31">
        <v>1.59</v>
      </c>
      <c r="H105" s="31">
        <v>1.64</v>
      </c>
      <c r="I105" s="31">
        <v>1.68</v>
      </c>
      <c r="J105" s="31">
        <v>1.72</v>
      </c>
      <c r="K105" s="32">
        <v>1.7699999809265137</v>
      </c>
      <c r="M105" s="587"/>
      <c r="N105" s="30">
        <v>120</v>
      </c>
      <c r="O105" s="31">
        <v>1.2100000381469727</v>
      </c>
      <c r="P105" s="31">
        <v>1.25</v>
      </c>
      <c r="Q105" s="31">
        <v>1.29</v>
      </c>
      <c r="R105" s="31">
        <v>1.34</v>
      </c>
      <c r="S105" s="31">
        <v>1.38</v>
      </c>
      <c r="T105" s="31">
        <v>1.43</v>
      </c>
      <c r="U105" s="31">
        <v>1.47</v>
      </c>
      <c r="V105" s="32">
        <v>1.5199999809265137</v>
      </c>
    </row>
    <row r="106" spans="2:22">
      <c r="B106" s="587"/>
      <c r="C106" s="27">
        <v>130</v>
      </c>
      <c r="D106" s="28">
        <v>1.3500000238418579</v>
      </c>
      <c r="E106" s="28">
        <v>1.39</v>
      </c>
      <c r="F106" s="28">
        <v>1.43</v>
      </c>
      <c r="G106" s="28">
        <v>1.48</v>
      </c>
      <c r="H106" s="28">
        <v>1.52</v>
      </c>
      <c r="I106" s="28">
        <v>1.57</v>
      </c>
      <c r="J106" s="28">
        <v>1.61</v>
      </c>
      <c r="K106" s="29">
        <v>1.6599999666213989</v>
      </c>
      <c r="M106" s="587"/>
      <c r="N106" s="27">
        <v>130</v>
      </c>
      <c r="O106" s="28">
        <v>1.1100000143051147</v>
      </c>
      <c r="P106" s="28">
        <v>1.1499999999999999</v>
      </c>
      <c r="Q106" s="28">
        <v>1.19</v>
      </c>
      <c r="R106" s="28">
        <v>1.23</v>
      </c>
      <c r="S106" s="28">
        <v>1.27</v>
      </c>
      <c r="T106" s="28">
        <v>1.31</v>
      </c>
      <c r="U106" s="28">
        <v>1.35</v>
      </c>
      <c r="V106" s="29">
        <v>1.3999999761581421</v>
      </c>
    </row>
    <row r="107" spans="2:22">
      <c r="B107" s="587"/>
      <c r="C107" s="30">
        <v>140</v>
      </c>
      <c r="D107" s="31">
        <v>1.25</v>
      </c>
      <c r="E107" s="31">
        <v>1.29</v>
      </c>
      <c r="F107" s="31">
        <v>1.34</v>
      </c>
      <c r="G107" s="31">
        <v>1.38</v>
      </c>
      <c r="H107" s="31">
        <v>1.43</v>
      </c>
      <c r="I107" s="31">
        <v>1.47</v>
      </c>
      <c r="J107" s="31">
        <v>1.52</v>
      </c>
      <c r="K107" s="32">
        <v>1.5700000524520874</v>
      </c>
      <c r="M107" s="587"/>
      <c r="N107" s="30">
        <v>140</v>
      </c>
      <c r="O107" s="31">
        <v>1.0299999713897705</v>
      </c>
      <c r="P107" s="31">
        <v>1.06</v>
      </c>
      <c r="Q107" s="31">
        <v>1.1000000000000001</v>
      </c>
      <c r="R107" s="31">
        <v>1.1399999999999999</v>
      </c>
      <c r="S107" s="31">
        <v>1.17</v>
      </c>
      <c r="T107" s="31">
        <v>1.21</v>
      </c>
      <c r="U107" s="31">
        <v>1.25</v>
      </c>
      <c r="V107" s="32">
        <v>1.2899999618530273</v>
      </c>
    </row>
    <row r="108" spans="2:22">
      <c r="B108" s="587"/>
      <c r="C108" s="27">
        <v>150</v>
      </c>
      <c r="D108" s="28">
        <v>1.1499999761581421</v>
      </c>
      <c r="E108" s="28">
        <v>1.19</v>
      </c>
      <c r="F108" s="28">
        <v>1.23</v>
      </c>
      <c r="G108" s="28">
        <v>1.28</v>
      </c>
      <c r="H108" s="28">
        <v>1.32</v>
      </c>
      <c r="I108" s="28">
        <v>1.37</v>
      </c>
      <c r="J108" s="28">
        <v>1.41</v>
      </c>
      <c r="K108" s="29">
        <v>1.4600000381469727</v>
      </c>
      <c r="M108" s="587"/>
      <c r="N108" s="27">
        <v>150</v>
      </c>
      <c r="O108" s="28">
        <v>0.94999998807907104</v>
      </c>
      <c r="P108" s="28">
        <v>0.98</v>
      </c>
      <c r="Q108" s="28">
        <v>1.02</v>
      </c>
      <c r="R108" s="28">
        <v>1.05</v>
      </c>
      <c r="S108" s="28">
        <v>1.0900000000000001</v>
      </c>
      <c r="T108" s="28">
        <v>1.1200000000000001</v>
      </c>
      <c r="U108" s="28">
        <v>1.1599999999999999</v>
      </c>
      <c r="V108" s="29">
        <v>1.2000000476837158</v>
      </c>
    </row>
    <row r="109" spans="2:22">
      <c r="B109" s="587"/>
      <c r="C109" s="30">
        <v>160</v>
      </c>
      <c r="D109" s="31">
        <v>1.0800000429153442</v>
      </c>
      <c r="E109" s="31">
        <v>1.1200000000000001</v>
      </c>
      <c r="F109" s="31">
        <v>1.1599999999999999</v>
      </c>
      <c r="G109" s="31">
        <v>1.2</v>
      </c>
      <c r="H109" s="31">
        <v>1.24</v>
      </c>
      <c r="I109" s="31">
        <v>1.28</v>
      </c>
      <c r="J109" s="31">
        <v>1.32</v>
      </c>
      <c r="K109" s="32">
        <v>1.3600000143051147</v>
      </c>
      <c r="M109" s="587"/>
      <c r="N109" s="30">
        <v>160</v>
      </c>
      <c r="O109" s="31">
        <v>0.88999998569488525</v>
      </c>
      <c r="P109" s="31">
        <v>0.92</v>
      </c>
      <c r="Q109" s="31">
        <v>0.95</v>
      </c>
      <c r="R109" s="31">
        <v>0.98</v>
      </c>
      <c r="S109" s="31">
        <v>1.02</v>
      </c>
      <c r="T109" s="31">
        <v>1.05</v>
      </c>
      <c r="U109" s="31">
        <v>1.08</v>
      </c>
      <c r="V109" s="32">
        <v>1.1200000047683716</v>
      </c>
    </row>
    <row r="110" spans="2:22">
      <c r="B110" s="587"/>
      <c r="C110" s="27">
        <v>170</v>
      </c>
      <c r="D110" s="28">
        <v>1.0099999904632568</v>
      </c>
      <c r="E110" s="28">
        <v>1.04</v>
      </c>
      <c r="F110" s="28">
        <v>1.08</v>
      </c>
      <c r="G110" s="28">
        <v>1.1200000000000001</v>
      </c>
      <c r="H110" s="28">
        <v>1.1499999999999999</v>
      </c>
      <c r="I110" s="28">
        <v>1.19</v>
      </c>
      <c r="J110" s="28">
        <v>1.23</v>
      </c>
      <c r="K110" s="29">
        <v>1.2699999809265137</v>
      </c>
      <c r="M110" s="587"/>
      <c r="N110" s="27">
        <v>170</v>
      </c>
      <c r="O110" s="28">
        <v>0.81999999284744263</v>
      </c>
      <c r="P110" s="28">
        <v>0.85</v>
      </c>
      <c r="Q110" s="28">
        <v>0.88</v>
      </c>
      <c r="R110" s="28">
        <v>0.91</v>
      </c>
      <c r="S110" s="28">
        <v>0.95</v>
      </c>
      <c r="T110" s="28">
        <v>0.98</v>
      </c>
      <c r="U110" s="28">
        <v>1.01</v>
      </c>
      <c r="V110" s="29">
        <v>1.0499999523162842</v>
      </c>
    </row>
    <row r="111" spans="2:22">
      <c r="B111" s="587"/>
      <c r="C111" s="30">
        <v>180</v>
      </c>
      <c r="D111" s="31">
        <v>0.94999998807907104</v>
      </c>
      <c r="E111" s="31">
        <v>0.98</v>
      </c>
      <c r="F111" s="31">
        <v>1.02</v>
      </c>
      <c r="G111" s="31">
        <v>1.05</v>
      </c>
      <c r="H111" s="31">
        <v>1.0900000000000001</v>
      </c>
      <c r="I111" s="31">
        <v>1.1200000000000001</v>
      </c>
      <c r="J111" s="31">
        <v>1.1599999999999999</v>
      </c>
      <c r="K111" s="32">
        <v>1.2000000476837158</v>
      </c>
      <c r="M111" s="587"/>
      <c r="N111" s="30">
        <v>180</v>
      </c>
      <c r="O111" s="31" t="s">
        <v>114</v>
      </c>
      <c r="P111" s="31" t="s">
        <v>114</v>
      </c>
      <c r="Q111" s="31">
        <v>0.81999999284744263</v>
      </c>
      <c r="R111" s="31">
        <v>0.86000001430511475</v>
      </c>
      <c r="S111" s="31">
        <v>0.88999998569488525</v>
      </c>
      <c r="T111" s="31">
        <v>0.92000001668930054</v>
      </c>
      <c r="U111" s="31">
        <v>0.94999998807907104</v>
      </c>
      <c r="V111" s="32">
        <v>0.99000000953674316</v>
      </c>
    </row>
    <row r="112" spans="2:22">
      <c r="B112" s="587"/>
      <c r="C112" s="27">
        <v>190</v>
      </c>
      <c r="D112" s="28">
        <v>0.89999997615814209</v>
      </c>
      <c r="E112" s="28">
        <v>0.93</v>
      </c>
      <c r="F112" s="28">
        <v>0.96</v>
      </c>
      <c r="G112" s="28">
        <v>0.99</v>
      </c>
      <c r="H112" s="28">
        <v>1.03</v>
      </c>
      <c r="I112" s="28">
        <v>1.06</v>
      </c>
      <c r="J112" s="28">
        <v>1.0900000000000001</v>
      </c>
      <c r="K112" s="29">
        <v>1.1299999952316284</v>
      </c>
      <c r="M112" s="587"/>
      <c r="N112" s="27">
        <v>190</v>
      </c>
      <c r="O112" s="28" t="s">
        <v>114</v>
      </c>
      <c r="P112" s="28" t="s">
        <v>114</v>
      </c>
      <c r="Q112" s="28" t="s">
        <v>114</v>
      </c>
      <c r="R112" s="28" t="s">
        <v>114</v>
      </c>
      <c r="S112" s="28">
        <v>0.82999998331069946</v>
      </c>
      <c r="T112" s="39">
        <v>0.87000000476837158</v>
      </c>
      <c r="U112" s="39">
        <v>0.89999997615814209</v>
      </c>
      <c r="V112" s="40">
        <v>0.93000000715255737</v>
      </c>
    </row>
    <row r="113" spans="2:22" ht="15" thickBot="1">
      <c r="B113" s="588"/>
      <c r="C113" s="33">
        <v>200</v>
      </c>
      <c r="D113" s="34">
        <v>0.80000001192092896</v>
      </c>
      <c r="E113" s="34">
        <v>0.83</v>
      </c>
      <c r="F113" s="34">
        <v>0.87</v>
      </c>
      <c r="G113" s="35">
        <v>0.91</v>
      </c>
      <c r="H113" s="34">
        <v>0.95</v>
      </c>
      <c r="I113" s="34">
        <v>0.99</v>
      </c>
      <c r="J113" s="34">
        <v>1.03</v>
      </c>
      <c r="K113" s="36">
        <v>1.0700000524520874</v>
      </c>
      <c r="M113" s="588"/>
      <c r="N113" s="33">
        <v>200</v>
      </c>
      <c r="O113" s="34" t="s">
        <v>114</v>
      </c>
      <c r="P113" s="34" t="s">
        <v>114</v>
      </c>
      <c r="Q113" s="34" t="s">
        <v>114</v>
      </c>
      <c r="R113" s="34" t="s">
        <v>114</v>
      </c>
      <c r="S113" s="34" t="s">
        <v>114</v>
      </c>
      <c r="T113" s="34">
        <v>0.80000001192092896</v>
      </c>
      <c r="U113" s="34">
        <v>0.85000002384185791</v>
      </c>
      <c r="V113" s="36">
        <v>0.87999999523162842</v>
      </c>
    </row>
    <row r="114" spans="2:22" ht="15" thickBot="1"/>
    <row r="115" spans="2:22" ht="16" thickBot="1">
      <c r="B115" s="585" t="s">
        <v>465</v>
      </c>
      <c r="C115" s="578"/>
      <c r="D115" s="577" t="s">
        <v>462</v>
      </c>
      <c r="E115" s="577"/>
      <c r="F115" s="577"/>
      <c r="G115" s="577"/>
      <c r="H115" s="577"/>
      <c r="I115" s="577"/>
      <c r="J115" s="577"/>
      <c r="K115" s="578"/>
      <c r="M115" s="585" t="s">
        <v>465</v>
      </c>
      <c r="N115" s="578"/>
      <c r="O115" s="577" t="s">
        <v>462</v>
      </c>
      <c r="P115" s="577"/>
      <c r="Q115" s="577"/>
      <c r="R115" s="577"/>
      <c r="S115" s="577"/>
      <c r="T115" s="577"/>
      <c r="U115" s="577"/>
      <c r="V115" s="578"/>
    </row>
    <row r="116" spans="2:22">
      <c r="B116" s="568" t="s">
        <v>471</v>
      </c>
      <c r="C116" s="569" t="s">
        <v>463</v>
      </c>
      <c r="D116" s="579" t="s">
        <v>464</v>
      </c>
      <c r="E116" s="580"/>
      <c r="F116" s="580"/>
      <c r="G116" s="580"/>
      <c r="H116" s="580"/>
      <c r="I116" s="580"/>
      <c r="J116" s="580"/>
      <c r="K116" s="581"/>
      <c r="M116" s="568" t="s">
        <v>471</v>
      </c>
      <c r="N116" s="569" t="s">
        <v>463</v>
      </c>
      <c r="O116" s="579" t="s">
        <v>464</v>
      </c>
      <c r="P116" s="580"/>
      <c r="Q116" s="580"/>
      <c r="R116" s="580"/>
      <c r="S116" s="580"/>
      <c r="T116" s="580"/>
      <c r="U116" s="580"/>
      <c r="V116" s="581"/>
    </row>
    <row r="117" spans="2:22" ht="15" thickBot="1">
      <c r="B117" s="569"/>
      <c r="C117" s="569"/>
      <c r="D117" s="582"/>
      <c r="E117" s="583"/>
      <c r="F117" s="583"/>
      <c r="G117" s="583"/>
      <c r="H117" s="583"/>
      <c r="I117" s="583"/>
      <c r="J117" s="583"/>
      <c r="K117" s="584"/>
      <c r="M117" s="569"/>
      <c r="N117" s="569"/>
      <c r="O117" s="582"/>
      <c r="P117" s="583"/>
      <c r="Q117" s="583"/>
      <c r="R117" s="583"/>
      <c r="S117" s="583"/>
      <c r="T117" s="583"/>
      <c r="U117" s="583"/>
      <c r="V117" s="584"/>
    </row>
    <row r="118" spans="2:22" ht="15" thickBot="1">
      <c r="B118" s="570"/>
      <c r="C118" s="570"/>
      <c r="D118" s="22">
        <v>0</v>
      </c>
      <c r="E118" s="22">
        <v>500</v>
      </c>
      <c r="F118" s="22">
        <v>1000</v>
      </c>
      <c r="G118" s="22">
        <v>1500</v>
      </c>
      <c r="H118" s="22">
        <v>2000</v>
      </c>
      <c r="I118" s="22">
        <v>2500</v>
      </c>
      <c r="J118" s="22">
        <v>3000</v>
      </c>
      <c r="K118" s="23">
        <v>3500</v>
      </c>
      <c r="M118" s="570"/>
      <c r="N118" s="570"/>
      <c r="O118" s="22">
        <v>0</v>
      </c>
      <c r="P118" s="22">
        <v>500</v>
      </c>
      <c r="Q118" s="22">
        <v>1000</v>
      </c>
      <c r="R118" s="22">
        <v>1500</v>
      </c>
      <c r="S118" s="22">
        <v>2000</v>
      </c>
      <c r="T118" s="22">
        <v>2500</v>
      </c>
      <c r="U118" s="22">
        <v>3000</v>
      </c>
      <c r="V118" s="23">
        <v>3500</v>
      </c>
    </row>
    <row r="119" spans="2:22">
      <c r="B119" s="586" t="s">
        <v>472</v>
      </c>
      <c r="C119" s="24">
        <v>100</v>
      </c>
      <c r="D119" s="25">
        <v>1.8300000429153442</v>
      </c>
      <c r="E119" s="25">
        <v>1.86</v>
      </c>
      <c r="F119" s="25">
        <v>1.89</v>
      </c>
      <c r="G119" s="25">
        <v>1.92</v>
      </c>
      <c r="H119" s="25">
        <v>1.95</v>
      </c>
      <c r="I119" s="25">
        <v>1.98</v>
      </c>
      <c r="J119" s="25">
        <v>2.0099999999999998</v>
      </c>
      <c r="K119" s="26">
        <v>2.0499999523162842</v>
      </c>
      <c r="M119" s="586" t="s">
        <v>473</v>
      </c>
      <c r="N119" s="24">
        <v>100</v>
      </c>
      <c r="O119" s="25">
        <v>1.5900000333786011</v>
      </c>
      <c r="P119" s="25">
        <v>1.63</v>
      </c>
      <c r="Q119" s="25">
        <v>1.67</v>
      </c>
      <c r="R119" s="25">
        <v>1.72</v>
      </c>
      <c r="S119" s="25">
        <v>1.76</v>
      </c>
      <c r="T119" s="25">
        <v>1.81</v>
      </c>
      <c r="U119" s="25">
        <v>1.85</v>
      </c>
      <c r="V119" s="26">
        <v>1.8999999761581421</v>
      </c>
    </row>
    <row r="120" spans="2:22">
      <c r="B120" s="587"/>
      <c r="C120" s="27">
        <v>110</v>
      </c>
      <c r="D120" s="28">
        <v>1.7100000381469727</v>
      </c>
      <c r="E120" s="28">
        <v>1.74</v>
      </c>
      <c r="F120" s="28">
        <v>1.77</v>
      </c>
      <c r="G120" s="28">
        <v>1.81</v>
      </c>
      <c r="H120" s="28">
        <v>1.84</v>
      </c>
      <c r="I120" s="28">
        <v>1.88</v>
      </c>
      <c r="J120" s="28">
        <v>1.91</v>
      </c>
      <c r="K120" s="29">
        <v>1.9500000476837158</v>
      </c>
      <c r="M120" s="587"/>
      <c r="N120" s="27">
        <v>110</v>
      </c>
      <c r="O120" s="28">
        <v>1.440000057220459</v>
      </c>
      <c r="P120" s="28">
        <v>1.48</v>
      </c>
      <c r="Q120" s="28">
        <v>1.53</v>
      </c>
      <c r="R120" s="28">
        <v>1.58</v>
      </c>
      <c r="S120" s="28">
        <v>1.63</v>
      </c>
      <c r="T120" s="28">
        <v>1.68</v>
      </c>
      <c r="U120" s="28">
        <v>1.73</v>
      </c>
      <c r="V120" s="29">
        <v>1.7799999713897705</v>
      </c>
    </row>
    <row r="121" spans="2:22">
      <c r="B121" s="587"/>
      <c r="C121" s="30">
        <v>120</v>
      </c>
      <c r="D121" s="31">
        <v>1.5900000333786011</v>
      </c>
      <c r="E121" s="31">
        <v>1.62</v>
      </c>
      <c r="F121" s="31">
        <v>1.66</v>
      </c>
      <c r="G121" s="31">
        <v>1.7</v>
      </c>
      <c r="H121" s="31">
        <v>1.74</v>
      </c>
      <c r="I121" s="31">
        <v>1.78</v>
      </c>
      <c r="J121" s="31">
        <v>1.82</v>
      </c>
      <c r="K121" s="32">
        <v>1.8600000143051147</v>
      </c>
      <c r="M121" s="587"/>
      <c r="N121" s="30">
        <v>120</v>
      </c>
      <c r="O121" s="31">
        <v>1.3200000524520874</v>
      </c>
      <c r="P121" s="31">
        <v>1.36</v>
      </c>
      <c r="Q121" s="31">
        <v>1.41</v>
      </c>
      <c r="R121" s="31">
        <v>1.46</v>
      </c>
      <c r="S121" s="31">
        <v>1.5</v>
      </c>
      <c r="T121" s="31">
        <v>1.55</v>
      </c>
      <c r="U121" s="31">
        <v>1.6</v>
      </c>
      <c r="V121" s="32">
        <v>1.6499999761581421</v>
      </c>
    </row>
    <row r="122" spans="2:22">
      <c r="B122" s="587"/>
      <c r="C122" s="27">
        <v>130</v>
      </c>
      <c r="D122" s="28">
        <v>1.4700000286102295</v>
      </c>
      <c r="E122" s="28">
        <v>1.51</v>
      </c>
      <c r="F122" s="28">
        <v>1.55</v>
      </c>
      <c r="G122" s="28">
        <v>1.59</v>
      </c>
      <c r="H122" s="28">
        <v>1.64</v>
      </c>
      <c r="I122" s="28">
        <v>1.68</v>
      </c>
      <c r="J122" s="28">
        <v>1.72</v>
      </c>
      <c r="K122" s="29">
        <v>1.7699999809265137</v>
      </c>
      <c r="M122" s="587"/>
      <c r="N122" s="27">
        <v>130</v>
      </c>
      <c r="O122" s="28">
        <v>1.2100000381469727</v>
      </c>
      <c r="P122" s="28">
        <v>1.25</v>
      </c>
      <c r="Q122" s="28">
        <v>1.29</v>
      </c>
      <c r="R122" s="28">
        <v>1.34</v>
      </c>
      <c r="S122" s="28">
        <v>1.38</v>
      </c>
      <c r="T122" s="28">
        <v>1.43</v>
      </c>
      <c r="U122" s="28">
        <v>1.47</v>
      </c>
      <c r="V122" s="29">
        <v>1.5199999809265137</v>
      </c>
    </row>
    <row r="123" spans="2:22">
      <c r="B123" s="587"/>
      <c r="C123" s="30">
        <v>140</v>
      </c>
      <c r="D123" s="31">
        <v>1.3600000143051147</v>
      </c>
      <c r="E123" s="31">
        <v>1.4</v>
      </c>
      <c r="F123" s="31">
        <v>1.44</v>
      </c>
      <c r="G123" s="31">
        <v>1.49</v>
      </c>
      <c r="H123" s="31">
        <v>1.53</v>
      </c>
      <c r="I123" s="31">
        <v>1.58</v>
      </c>
      <c r="J123" s="31">
        <v>1.62</v>
      </c>
      <c r="K123" s="32">
        <v>1.6699999570846558</v>
      </c>
      <c r="M123" s="587"/>
      <c r="N123" s="30">
        <v>140</v>
      </c>
      <c r="O123" s="31">
        <v>1.1100000143051147</v>
      </c>
      <c r="P123" s="31">
        <v>1.1499999999999999</v>
      </c>
      <c r="Q123" s="31">
        <v>1.19</v>
      </c>
      <c r="R123" s="31">
        <v>1.23</v>
      </c>
      <c r="S123" s="31">
        <v>1.27</v>
      </c>
      <c r="T123" s="31">
        <v>1.31</v>
      </c>
      <c r="U123" s="31">
        <v>1.35</v>
      </c>
      <c r="V123" s="32">
        <v>1.3999999761581421</v>
      </c>
    </row>
    <row r="124" spans="2:22">
      <c r="B124" s="587"/>
      <c r="C124" s="27">
        <v>150</v>
      </c>
      <c r="D124" s="28">
        <v>1.25</v>
      </c>
      <c r="E124" s="28">
        <v>1.29</v>
      </c>
      <c r="F124" s="28">
        <v>1.34</v>
      </c>
      <c r="G124" s="28">
        <v>1.39</v>
      </c>
      <c r="H124" s="28">
        <v>1.43</v>
      </c>
      <c r="I124" s="28">
        <v>1.48</v>
      </c>
      <c r="J124" s="28">
        <v>1.53</v>
      </c>
      <c r="K124" s="29">
        <v>1.5800000429153442</v>
      </c>
      <c r="M124" s="587"/>
      <c r="N124" s="27">
        <v>150</v>
      </c>
      <c r="O124" s="28">
        <v>1.0299999713897705</v>
      </c>
      <c r="P124" s="28">
        <v>1.06</v>
      </c>
      <c r="Q124" s="28">
        <v>1.1000000000000001</v>
      </c>
      <c r="R124" s="28">
        <v>1.1399999999999999</v>
      </c>
      <c r="S124" s="28">
        <v>1.18</v>
      </c>
      <c r="T124" s="28">
        <v>1.22</v>
      </c>
      <c r="U124" s="28">
        <v>1.26</v>
      </c>
      <c r="V124" s="29">
        <v>1.2999999523162842</v>
      </c>
    </row>
    <row r="125" spans="2:22">
      <c r="B125" s="587"/>
      <c r="C125" s="30">
        <v>160</v>
      </c>
      <c r="D125" s="31">
        <v>1.1699999570846558</v>
      </c>
      <c r="E125" s="31">
        <v>1.21</v>
      </c>
      <c r="F125" s="31">
        <v>1.25</v>
      </c>
      <c r="G125" s="31">
        <v>1.3</v>
      </c>
      <c r="H125" s="31">
        <v>1.34</v>
      </c>
      <c r="I125" s="31">
        <v>1.39</v>
      </c>
      <c r="J125" s="31">
        <v>1.43</v>
      </c>
      <c r="K125" s="32">
        <v>1.4800000190734863</v>
      </c>
      <c r="M125" s="587"/>
      <c r="N125" s="30">
        <v>160</v>
      </c>
      <c r="O125" s="31">
        <v>0.97000002861022949</v>
      </c>
      <c r="P125" s="31">
        <v>1</v>
      </c>
      <c r="Q125" s="31">
        <v>1.03</v>
      </c>
      <c r="R125" s="31">
        <v>1.07</v>
      </c>
      <c r="S125" s="31">
        <v>1.1000000000000001</v>
      </c>
      <c r="T125" s="31">
        <v>1.1399999999999999</v>
      </c>
      <c r="U125" s="31">
        <v>1.17</v>
      </c>
      <c r="V125" s="32">
        <v>1.2100000381469727</v>
      </c>
    </row>
    <row r="126" spans="2:22">
      <c r="B126" s="587"/>
      <c r="C126" s="27">
        <v>170</v>
      </c>
      <c r="D126" s="28">
        <v>1.1000000238418579</v>
      </c>
      <c r="E126" s="28">
        <v>1.1399999999999999</v>
      </c>
      <c r="F126" s="28">
        <v>1.18</v>
      </c>
      <c r="G126" s="28">
        <v>1.22</v>
      </c>
      <c r="H126" s="28">
        <v>1.26</v>
      </c>
      <c r="I126" s="28">
        <v>1.3</v>
      </c>
      <c r="J126" s="28">
        <v>1.33</v>
      </c>
      <c r="K126" s="29">
        <v>1.3799999952316284</v>
      </c>
      <c r="M126" s="587"/>
      <c r="N126" s="27">
        <v>170</v>
      </c>
      <c r="O126" s="28">
        <v>0.9100000262260437</v>
      </c>
      <c r="P126" s="28">
        <v>0.94</v>
      </c>
      <c r="Q126" s="28">
        <v>0.97</v>
      </c>
      <c r="R126" s="28">
        <v>1</v>
      </c>
      <c r="S126" s="28">
        <v>1.04</v>
      </c>
      <c r="T126" s="28">
        <v>1.07</v>
      </c>
      <c r="U126" s="28">
        <v>1.1000000000000001</v>
      </c>
      <c r="V126" s="29">
        <v>1.1399999856948853</v>
      </c>
    </row>
    <row r="127" spans="2:22">
      <c r="B127" s="587"/>
      <c r="C127" s="30">
        <v>180</v>
      </c>
      <c r="D127" s="31">
        <v>1.0299999713897705</v>
      </c>
      <c r="E127" s="31">
        <v>1.06</v>
      </c>
      <c r="F127" s="31">
        <v>1.1000000000000001</v>
      </c>
      <c r="G127" s="31">
        <v>1.1399999999999999</v>
      </c>
      <c r="H127" s="31">
        <v>1.18</v>
      </c>
      <c r="I127" s="31">
        <v>1.22</v>
      </c>
      <c r="J127" s="31">
        <v>1.26</v>
      </c>
      <c r="K127" s="32">
        <v>1.2999999523162842</v>
      </c>
      <c r="M127" s="587"/>
      <c r="N127" s="30">
        <v>180</v>
      </c>
      <c r="O127" s="31">
        <v>0.8399999737739563</v>
      </c>
      <c r="P127" s="31">
        <v>0.87</v>
      </c>
      <c r="Q127" s="31">
        <v>0.9</v>
      </c>
      <c r="R127" s="31">
        <v>0.93</v>
      </c>
      <c r="S127" s="31">
        <v>0.97</v>
      </c>
      <c r="T127" s="31">
        <v>1</v>
      </c>
      <c r="U127" s="31">
        <v>1.03</v>
      </c>
      <c r="V127" s="32">
        <v>1.0700000524520874</v>
      </c>
    </row>
    <row r="128" spans="2:22">
      <c r="B128" s="587"/>
      <c r="C128" s="27">
        <v>190</v>
      </c>
      <c r="D128" s="28">
        <v>0.98000001907348633</v>
      </c>
      <c r="E128" s="28">
        <v>1.01</v>
      </c>
      <c r="F128" s="28">
        <v>1.04</v>
      </c>
      <c r="G128" s="28">
        <v>1.08</v>
      </c>
      <c r="H128" s="28">
        <v>1.1100000000000001</v>
      </c>
      <c r="I128" s="28">
        <v>1.1499999999999999</v>
      </c>
      <c r="J128" s="28">
        <v>1.18</v>
      </c>
      <c r="K128" s="29">
        <v>1.2200000286102295</v>
      </c>
      <c r="M128" s="587"/>
      <c r="N128" s="27">
        <v>190</v>
      </c>
      <c r="O128" s="28" t="s">
        <v>114</v>
      </c>
      <c r="P128" s="28">
        <v>0.80000001192092896</v>
      </c>
      <c r="Q128" s="28">
        <v>0.85000002384185791</v>
      </c>
      <c r="R128" s="28">
        <v>0.88999998569488525</v>
      </c>
      <c r="S128" s="28">
        <v>0.9100000262260437</v>
      </c>
      <c r="T128" s="28">
        <v>0.93999999761581421</v>
      </c>
      <c r="U128" s="28">
        <v>0.98000001907348633</v>
      </c>
      <c r="V128" s="29">
        <v>1.0099999904632568</v>
      </c>
    </row>
    <row r="129" spans="2:22" ht="15" thickBot="1">
      <c r="B129" s="588"/>
      <c r="C129" s="33">
        <v>200</v>
      </c>
      <c r="D129" s="34">
        <v>0.92000001668930054</v>
      </c>
      <c r="E129" s="34">
        <v>0.95</v>
      </c>
      <c r="F129" s="34">
        <v>0.98</v>
      </c>
      <c r="G129" s="35">
        <v>1.02</v>
      </c>
      <c r="H129" s="34">
        <v>1.05</v>
      </c>
      <c r="I129" s="34">
        <v>1.0900000000000001</v>
      </c>
      <c r="J129" s="34">
        <v>1.1200000000000001</v>
      </c>
      <c r="K129" s="36">
        <v>1.1599999666213989</v>
      </c>
      <c r="M129" s="588"/>
      <c r="N129" s="33">
        <v>200</v>
      </c>
      <c r="O129" s="34" t="s">
        <v>114</v>
      </c>
      <c r="P129" s="34" t="s">
        <v>114</v>
      </c>
      <c r="Q129" s="34" t="s">
        <v>114</v>
      </c>
      <c r="R129" s="35">
        <v>0.81999999284744263</v>
      </c>
      <c r="S129" s="34">
        <v>0.86000001430511475</v>
      </c>
      <c r="T129" s="34">
        <v>0.88999998569488525</v>
      </c>
      <c r="U129" s="34">
        <v>0.92000001668930054</v>
      </c>
      <c r="V129" s="36">
        <v>0.95999997854232788</v>
      </c>
    </row>
  </sheetData>
  <mergeCells count="96">
    <mergeCell ref="B23:B33"/>
    <mergeCell ref="B3:C3"/>
    <mergeCell ref="D3:K3"/>
    <mergeCell ref="B4:B6"/>
    <mergeCell ref="C4:C6"/>
    <mergeCell ref="D4:K5"/>
    <mergeCell ref="B7:B17"/>
    <mergeCell ref="B19:C19"/>
    <mergeCell ref="D19:K19"/>
    <mergeCell ref="B20:B22"/>
    <mergeCell ref="C20:C22"/>
    <mergeCell ref="D20:K21"/>
    <mergeCell ref="B55:B65"/>
    <mergeCell ref="B35:C35"/>
    <mergeCell ref="D35:K35"/>
    <mergeCell ref="B36:B38"/>
    <mergeCell ref="C36:C38"/>
    <mergeCell ref="D36:K37"/>
    <mergeCell ref="B39:B49"/>
    <mergeCell ref="B51:C51"/>
    <mergeCell ref="D51:K51"/>
    <mergeCell ref="B52:B54"/>
    <mergeCell ref="C52:C54"/>
    <mergeCell ref="D52:K53"/>
    <mergeCell ref="M23:M33"/>
    <mergeCell ref="M3:N3"/>
    <mergeCell ref="O3:V3"/>
    <mergeCell ref="M4:M6"/>
    <mergeCell ref="N4:N6"/>
    <mergeCell ref="O4:V5"/>
    <mergeCell ref="M7:M17"/>
    <mergeCell ref="M19:N19"/>
    <mergeCell ref="O19:V19"/>
    <mergeCell ref="M20:M22"/>
    <mergeCell ref="N20:N22"/>
    <mergeCell ref="O20:V21"/>
    <mergeCell ref="M55:M65"/>
    <mergeCell ref="M35:N35"/>
    <mergeCell ref="O35:V35"/>
    <mergeCell ref="M36:M38"/>
    <mergeCell ref="N36:N38"/>
    <mergeCell ref="O36:V37"/>
    <mergeCell ref="M39:M49"/>
    <mergeCell ref="M51:N51"/>
    <mergeCell ref="O51:V51"/>
    <mergeCell ref="M52:M54"/>
    <mergeCell ref="N52:N54"/>
    <mergeCell ref="O52:V53"/>
    <mergeCell ref="B87:B97"/>
    <mergeCell ref="B67:C67"/>
    <mergeCell ref="D67:K67"/>
    <mergeCell ref="B68:B70"/>
    <mergeCell ref="C68:C70"/>
    <mergeCell ref="D68:K69"/>
    <mergeCell ref="B71:B81"/>
    <mergeCell ref="B83:C83"/>
    <mergeCell ref="D83:K83"/>
    <mergeCell ref="B84:B86"/>
    <mergeCell ref="C84:C86"/>
    <mergeCell ref="D84:K85"/>
    <mergeCell ref="B119:B129"/>
    <mergeCell ref="B99:C99"/>
    <mergeCell ref="D99:K99"/>
    <mergeCell ref="B100:B102"/>
    <mergeCell ref="C100:C102"/>
    <mergeCell ref="D100:K101"/>
    <mergeCell ref="B103:B113"/>
    <mergeCell ref="B115:C115"/>
    <mergeCell ref="D115:K115"/>
    <mergeCell ref="B116:B118"/>
    <mergeCell ref="C116:C118"/>
    <mergeCell ref="D116:K117"/>
    <mergeCell ref="M87:M97"/>
    <mergeCell ref="M67:N67"/>
    <mergeCell ref="O67:V67"/>
    <mergeCell ref="M68:M70"/>
    <mergeCell ref="N68:N70"/>
    <mergeCell ref="O68:V69"/>
    <mergeCell ref="M71:M81"/>
    <mergeCell ref="M83:N83"/>
    <mergeCell ref="O83:V83"/>
    <mergeCell ref="M84:M86"/>
    <mergeCell ref="N84:N86"/>
    <mergeCell ref="O84:V85"/>
    <mergeCell ref="M119:M129"/>
    <mergeCell ref="M99:N99"/>
    <mergeCell ref="O99:V99"/>
    <mergeCell ref="M100:M102"/>
    <mergeCell ref="N100:N102"/>
    <mergeCell ref="O100:V101"/>
    <mergeCell ref="M103:M113"/>
    <mergeCell ref="M115:N115"/>
    <mergeCell ref="O115:V115"/>
    <mergeCell ref="M116:M118"/>
    <mergeCell ref="N116:N118"/>
    <mergeCell ref="O116:V117"/>
  </mergeCells>
  <dataValidations count="3">
    <dataValidation type="list" allowBlank="1" showInputMessage="1" showErrorMessage="1" sqref="B4:B6 B20:B22 B36:B38 B52:B54 M4:M6 M20:M22 M36:M38 M52:M54 B68:B70 B84:B86 B100:B102 B116:B118 M68:M70 M84:M86 M100:M102 M116:M118" xr:uid="{1A8F76C2-EB55-4036-A59B-9FC95435D2E3}">
      <formula1>"Categoría de terreno 1,Categoría de terreno 2,Categoría de terreno 3,Categoría de terreno 4"</formula1>
    </dataValidation>
    <dataValidation type="list" allowBlank="1" showInputMessage="1" showErrorMessage="1" sqref="B7:B17 B23:B33 B39:B49 B55:B65 M7:M17 M23:M33 M39:M49 M55:M65 B71:B81 B87:B97 B103:B113 B119:B129 M71:M81 M87:M97 M103:M113 M119:M129" xr:uid="{B82D59E9-15EC-4060-A91F-D378F4363200}">
      <formula1>"*Inclinación del sistema 5°,*Inclinación del sistema 10°,*Inclinación del sistema 15°,*Inclinación del sistema 20°"</formula1>
    </dataValidation>
    <dataValidation type="list" allowBlank="1" showInputMessage="1" showErrorMessage="1" sqref="B3:C3 B19:C19 B35:C35 B51:C51 M3:N3 M19:N19 M35:N35 M51:N51 B67:C67 B83:C83 B99:C99 B115:C115 M67:N67 M83:N83 M99:N99 M115:N115" xr:uid="{9009F37C-B769-460D-9024-652CCA29D1F0}">
      <formula1>"Zona sísmica A,Zona sísmica B,Zona sísmica C,Zona sísmica D,"</formula1>
    </dataValidation>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AF133-A1F0-4A4A-9CCF-E32AA25BEEC3}">
  <sheetPr codeName="Hoja17"/>
  <dimension ref="B2:V129"/>
  <sheetViews>
    <sheetView topLeftCell="A83" workbookViewId="0">
      <selection activeCell="F8" sqref="F8"/>
    </sheetView>
  </sheetViews>
  <sheetFormatPr defaultColWidth="11.453125" defaultRowHeight="14.5"/>
  <sheetData>
    <row r="2" spans="2:22" ht="15" thickBot="1"/>
    <row r="3" spans="2:22" ht="16" thickBot="1">
      <c r="B3" s="585" t="s">
        <v>474</v>
      </c>
      <c r="C3" s="578"/>
      <c r="D3" s="577" t="s">
        <v>462</v>
      </c>
      <c r="E3" s="577"/>
      <c r="F3" s="577"/>
      <c r="G3" s="577"/>
      <c r="H3" s="577"/>
      <c r="I3" s="577"/>
      <c r="J3" s="577"/>
      <c r="K3" s="578"/>
      <c r="M3" s="585" t="s">
        <v>474</v>
      </c>
      <c r="N3" s="578"/>
      <c r="O3" s="577" t="s">
        <v>462</v>
      </c>
      <c r="P3" s="577"/>
      <c r="Q3" s="577"/>
      <c r="R3" s="577"/>
      <c r="S3" s="577"/>
      <c r="T3" s="577"/>
      <c r="U3" s="577"/>
      <c r="V3" s="578"/>
    </row>
    <row r="4" spans="2:22" ht="14.5" customHeight="1">
      <c r="B4" s="569" t="s">
        <v>466</v>
      </c>
      <c r="C4" s="569" t="s">
        <v>463</v>
      </c>
      <c r="D4" s="579" t="s">
        <v>464</v>
      </c>
      <c r="E4" s="580"/>
      <c r="F4" s="580"/>
      <c r="G4" s="580"/>
      <c r="H4" s="580"/>
      <c r="I4" s="580"/>
      <c r="J4" s="580"/>
      <c r="K4" s="581"/>
      <c r="M4" s="568" t="s">
        <v>466</v>
      </c>
      <c r="N4" s="569" t="s">
        <v>463</v>
      </c>
      <c r="O4" s="579" t="s">
        <v>464</v>
      </c>
      <c r="P4" s="580"/>
      <c r="Q4" s="580"/>
      <c r="R4" s="580"/>
      <c r="S4" s="580"/>
      <c r="T4" s="580"/>
      <c r="U4" s="580"/>
      <c r="V4" s="581"/>
    </row>
    <row r="5" spans="2:22" ht="15" thickBot="1">
      <c r="B5" s="569"/>
      <c r="C5" s="569"/>
      <c r="D5" s="582"/>
      <c r="E5" s="583"/>
      <c r="F5" s="583"/>
      <c r="G5" s="583"/>
      <c r="H5" s="583"/>
      <c r="I5" s="583"/>
      <c r="J5" s="583"/>
      <c r="K5" s="584"/>
      <c r="M5" s="569"/>
      <c r="N5" s="569"/>
      <c r="O5" s="582"/>
      <c r="P5" s="583"/>
      <c r="Q5" s="583"/>
      <c r="R5" s="583"/>
      <c r="S5" s="583"/>
      <c r="T5" s="583"/>
      <c r="U5" s="583"/>
      <c r="V5" s="584"/>
    </row>
    <row r="6" spans="2:22" ht="15" thickBot="1">
      <c r="B6" s="570"/>
      <c r="C6" s="569"/>
      <c r="D6" s="22">
        <v>0</v>
      </c>
      <c r="E6" s="22">
        <v>500</v>
      </c>
      <c r="F6" s="22">
        <v>1000</v>
      </c>
      <c r="G6" s="22">
        <v>1500</v>
      </c>
      <c r="H6" s="22">
        <v>2000</v>
      </c>
      <c r="I6" s="22">
        <v>2500</v>
      </c>
      <c r="J6" s="22">
        <v>3000</v>
      </c>
      <c r="K6" s="23">
        <v>3500</v>
      </c>
      <c r="M6" s="570"/>
      <c r="N6" s="570"/>
      <c r="O6" s="22">
        <v>0</v>
      </c>
      <c r="P6" s="22">
        <v>500</v>
      </c>
      <c r="Q6" s="22">
        <v>1000</v>
      </c>
      <c r="R6" s="22">
        <v>1500</v>
      </c>
      <c r="S6" s="22">
        <v>2000</v>
      </c>
      <c r="T6" s="22">
        <v>2500</v>
      </c>
      <c r="U6" s="22">
        <v>3000</v>
      </c>
      <c r="V6" s="23">
        <v>3500</v>
      </c>
    </row>
    <row r="7" spans="2:22" ht="14.5" customHeight="1">
      <c r="B7" s="589" t="s">
        <v>467</v>
      </c>
      <c r="C7" s="24">
        <v>100</v>
      </c>
      <c r="D7" s="25">
        <v>1.65</v>
      </c>
      <c r="E7" s="25">
        <v>1.65</v>
      </c>
      <c r="F7" s="25">
        <v>1.65</v>
      </c>
      <c r="G7" s="25">
        <v>1.65</v>
      </c>
      <c r="H7" s="25">
        <v>1.69</v>
      </c>
      <c r="I7" s="25">
        <v>1.73</v>
      </c>
      <c r="J7" s="25">
        <v>1.78</v>
      </c>
      <c r="K7" s="26">
        <v>1.83</v>
      </c>
      <c r="M7" s="586" t="s">
        <v>468</v>
      </c>
      <c r="N7" s="24">
        <v>100</v>
      </c>
      <c r="O7" s="25">
        <v>1.5199999809265137</v>
      </c>
      <c r="P7" s="25">
        <v>1.55</v>
      </c>
      <c r="Q7" s="25">
        <v>1.59</v>
      </c>
      <c r="R7" s="25">
        <v>1.63</v>
      </c>
      <c r="S7" s="25">
        <v>1.67</v>
      </c>
      <c r="T7" s="25">
        <v>1.71</v>
      </c>
      <c r="U7" s="25">
        <v>1.75</v>
      </c>
      <c r="V7" s="26">
        <v>1.7999999523162842</v>
      </c>
    </row>
    <row r="8" spans="2:22">
      <c r="B8" s="590"/>
      <c r="C8" s="27">
        <v>110</v>
      </c>
      <c r="D8" s="28">
        <v>1.559999942779541</v>
      </c>
      <c r="E8" s="28">
        <v>1.6000000238418579</v>
      </c>
      <c r="F8" s="28">
        <v>1.6299999952316284</v>
      </c>
      <c r="G8" s="28">
        <v>1.6499999761581421</v>
      </c>
      <c r="H8" s="28">
        <v>1.6499999761581421</v>
      </c>
      <c r="I8" s="28">
        <v>1.6499999761581421</v>
      </c>
      <c r="J8" s="28">
        <v>1.6499999761581421</v>
      </c>
      <c r="K8" s="29">
        <v>1.6499999761581421</v>
      </c>
      <c r="M8" s="587"/>
      <c r="N8" s="27">
        <v>110</v>
      </c>
      <c r="O8" s="28">
        <v>1.3999999761581421</v>
      </c>
      <c r="P8" s="28">
        <v>1.44</v>
      </c>
      <c r="Q8" s="28">
        <v>1.48</v>
      </c>
      <c r="R8" s="28">
        <v>1.52</v>
      </c>
      <c r="S8" s="28">
        <v>1.56</v>
      </c>
      <c r="T8" s="28">
        <v>1.6</v>
      </c>
      <c r="U8" s="28">
        <v>1.64</v>
      </c>
      <c r="V8" s="29">
        <v>1.690000057220459</v>
      </c>
    </row>
    <row r="9" spans="2:22">
      <c r="B9" s="590"/>
      <c r="C9" s="30">
        <v>120</v>
      </c>
      <c r="D9" s="31">
        <v>1.4500000476837158</v>
      </c>
      <c r="E9" s="31">
        <v>1.4800000190734801</v>
      </c>
      <c r="F9" s="31">
        <v>1.5199999809265137</v>
      </c>
      <c r="G9" s="31">
        <v>1.559999942779541</v>
      </c>
      <c r="H9" s="31">
        <v>1.6000000238418579</v>
      </c>
      <c r="I9" s="31">
        <v>1.6399999856948853</v>
      </c>
      <c r="J9" s="31">
        <v>1.6499999761581421</v>
      </c>
      <c r="K9" s="32">
        <v>1.6499999761581421</v>
      </c>
      <c r="M9" s="587"/>
      <c r="N9" s="30">
        <v>120</v>
      </c>
      <c r="O9" s="31">
        <v>1.2999999523162842</v>
      </c>
      <c r="P9" s="31">
        <v>1.33</v>
      </c>
      <c r="Q9" s="31">
        <v>1.37</v>
      </c>
      <c r="R9" s="31">
        <v>1.41</v>
      </c>
      <c r="S9" s="31">
        <v>1.45</v>
      </c>
      <c r="T9" s="31">
        <v>1.49</v>
      </c>
      <c r="U9" s="31">
        <v>1.53</v>
      </c>
      <c r="V9" s="32">
        <v>1.5700000524520874</v>
      </c>
    </row>
    <row r="10" spans="2:22">
      <c r="B10" s="590"/>
      <c r="C10" s="27">
        <v>130</v>
      </c>
      <c r="D10" s="28">
        <v>1.3500000238418579</v>
      </c>
      <c r="E10" s="28">
        <v>1.38</v>
      </c>
      <c r="F10" s="28">
        <v>1.42</v>
      </c>
      <c r="G10" s="28">
        <v>1.46</v>
      </c>
      <c r="H10" s="28">
        <v>1.5</v>
      </c>
      <c r="I10" s="28">
        <v>1.54</v>
      </c>
      <c r="J10" s="28">
        <v>1.58</v>
      </c>
      <c r="K10" s="29">
        <v>1.6200000047683716</v>
      </c>
      <c r="M10" s="587"/>
      <c r="N10" s="27">
        <v>130</v>
      </c>
      <c r="O10" s="28">
        <v>1.2000000476837158</v>
      </c>
      <c r="P10" s="28">
        <v>1.23</v>
      </c>
      <c r="Q10" s="28">
        <v>1.27</v>
      </c>
      <c r="R10" s="28">
        <v>1.31</v>
      </c>
      <c r="S10" s="28">
        <v>1.35</v>
      </c>
      <c r="T10" s="28">
        <v>1.39</v>
      </c>
      <c r="U10" s="28">
        <v>1.43</v>
      </c>
      <c r="V10" s="29">
        <v>1.4700000286102295</v>
      </c>
    </row>
    <row r="11" spans="2:22">
      <c r="B11" s="590"/>
      <c r="C11" s="30">
        <v>140</v>
      </c>
      <c r="D11" s="31">
        <v>1.2699999809265137</v>
      </c>
      <c r="E11" s="31">
        <v>1.3</v>
      </c>
      <c r="F11" s="31">
        <v>1.34</v>
      </c>
      <c r="G11" s="31">
        <v>1.37</v>
      </c>
      <c r="H11" s="31">
        <v>1.41</v>
      </c>
      <c r="I11" s="31">
        <v>1.44</v>
      </c>
      <c r="J11" s="31">
        <v>1.48</v>
      </c>
      <c r="K11" s="32">
        <v>1.5199999809265137</v>
      </c>
      <c r="M11" s="587"/>
      <c r="N11" s="30">
        <v>140</v>
      </c>
      <c r="O11" s="31">
        <v>1.1100000143051147</v>
      </c>
      <c r="P11" s="31">
        <v>1.1399999999999999</v>
      </c>
      <c r="Q11" s="31">
        <v>1.18</v>
      </c>
      <c r="R11" s="31">
        <v>1.22</v>
      </c>
      <c r="S11" s="31">
        <v>1.25</v>
      </c>
      <c r="T11" s="31">
        <v>1.29</v>
      </c>
      <c r="U11" s="31">
        <v>1.33</v>
      </c>
      <c r="V11" s="32">
        <v>1.3700000047683716</v>
      </c>
    </row>
    <row r="12" spans="2:22">
      <c r="B12" s="590"/>
      <c r="C12" s="27">
        <v>150</v>
      </c>
      <c r="D12" s="28">
        <v>1.1799999475479126</v>
      </c>
      <c r="E12" s="28">
        <v>1.21</v>
      </c>
      <c r="F12" s="28">
        <v>1.25</v>
      </c>
      <c r="G12" s="28">
        <v>1.28</v>
      </c>
      <c r="H12" s="28">
        <v>1.32</v>
      </c>
      <c r="I12" s="28">
        <v>1.35</v>
      </c>
      <c r="J12" s="28">
        <v>1.39</v>
      </c>
      <c r="K12" s="29">
        <v>1.4299999475479126</v>
      </c>
      <c r="M12" s="587"/>
      <c r="N12" s="27">
        <v>150</v>
      </c>
      <c r="O12" s="28">
        <v>1.0299999713897705</v>
      </c>
      <c r="P12" s="28">
        <v>1.06</v>
      </c>
      <c r="Q12" s="28">
        <v>1.1000000000000001</v>
      </c>
      <c r="R12" s="28">
        <v>1.1399999999999999</v>
      </c>
      <c r="S12" s="28">
        <v>1.17</v>
      </c>
      <c r="T12" s="28">
        <v>1.21</v>
      </c>
      <c r="U12" s="28">
        <v>1.25</v>
      </c>
      <c r="V12" s="29">
        <v>1.2899999618530273</v>
      </c>
    </row>
    <row r="13" spans="2:22">
      <c r="B13" s="590"/>
      <c r="C13" s="30">
        <v>160</v>
      </c>
      <c r="D13" s="31">
        <v>1.1200000047683716</v>
      </c>
      <c r="E13" s="31">
        <v>1.1499999761581421</v>
      </c>
      <c r="F13" s="31">
        <v>1.1799999475479126</v>
      </c>
      <c r="G13" s="31">
        <v>1.2100000381469727</v>
      </c>
      <c r="H13" s="31">
        <v>1.25</v>
      </c>
      <c r="I13" s="31">
        <v>1.2799999713897705</v>
      </c>
      <c r="J13" s="31">
        <v>1.309999942779541</v>
      </c>
      <c r="K13" s="32">
        <v>1.3500000238418579</v>
      </c>
      <c r="M13" s="587"/>
      <c r="N13" s="30">
        <v>160</v>
      </c>
      <c r="O13" s="31">
        <v>0.97000002861022949</v>
      </c>
      <c r="P13" s="31">
        <v>1</v>
      </c>
      <c r="Q13" s="31">
        <v>1.03</v>
      </c>
      <c r="R13" s="31">
        <v>1.06</v>
      </c>
      <c r="S13" s="31">
        <v>1.1000000000000001</v>
      </c>
      <c r="T13" s="31">
        <v>1.1299999999999999</v>
      </c>
      <c r="U13" s="31">
        <v>1.1599999999999999</v>
      </c>
      <c r="V13" s="32">
        <v>1.2000000476837158</v>
      </c>
    </row>
    <row r="14" spans="2:22">
      <c r="B14" s="590"/>
      <c r="C14" s="27">
        <v>170</v>
      </c>
      <c r="D14" s="28">
        <v>1.059999942779541</v>
      </c>
      <c r="E14" s="28">
        <v>1.0900000333786011</v>
      </c>
      <c r="F14" s="28">
        <v>1.1200000047683716</v>
      </c>
      <c r="G14" s="28">
        <v>1.1499999761581421</v>
      </c>
      <c r="H14" s="28">
        <v>1.1799999475479126</v>
      </c>
      <c r="I14" s="28">
        <v>1.2100000381469727</v>
      </c>
      <c r="J14" s="28">
        <v>1.25</v>
      </c>
      <c r="K14" s="29">
        <v>1.2899999618530273</v>
      </c>
      <c r="M14" s="587"/>
      <c r="N14" s="27">
        <v>170</v>
      </c>
      <c r="O14" s="28">
        <v>0.86000001430511475</v>
      </c>
      <c r="P14" s="28">
        <v>0.89</v>
      </c>
      <c r="Q14" s="28">
        <v>0.93</v>
      </c>
      <c r="R14" s="28">
        <v>0.97</v>
      </c>
      <c r="S14" s="28">
        <v>1.01</v>
      </c>
      <c r="T14" s="28">
        <v>1.05</v>
      </c>
      <c r="U14" s="28">
        <v>1.0900000000000001</v>
      </c>
      <c r="V14" s="29">
        <v>1.1299999952316284</v>
      </c>
    </row>
    <row r="15" spans="2:22">
      <c r="B15" s="590"/>
      <c r="C15" s="30">
        <v>180</v>
      </c>
      <c r="D15" s="31">
        <v>1</v>
      </c>
      <c r="E15" s="31">
        <v>1.0299999713897705</v>
      </c>
      <c r="F15" s="31">
        <v>1.059999942779541</v>
      </c>
      <c r="G15" s="31">
        <v>1.0900000333786011</v>
      </c>
      <c r="H15" s="31">
        <v>1.1200000047683716</v>
      </c>
      <c r="I15" s="31">
        <v>1.1499999761581421</v>
      </c>
      <c r="J15" s="31">
        <v>1.1799999475479126</v>
      </c>
      <c r="K15" s="32">
        <v>1.2200000286102295</v>
      </c>
      <c r="M15" s="587"/>
      <c r="N15" s="30">
        <v>180</v>
      </c>
      <c r="O15" s="31" t="s">
        <v>114</v>
      </c>
      <c r="P15" s="31">
        <v>0.80000001192092896</v>
      </c>
      <c r="Q15" s="31">
        <v>0.87</v>
      </c>
      <c r="R15" s="31">
        <v>0.91</v>
      </c>
      <c r="S15" s="31">
        <v>0.95</v>
      </c>
      <c r="T15" s="31">
        <v>0.99</v>
      </c>
      <c r="U15" s="31">
        <v>1.03</v>
      </c>
      <c r="V15" s="32">
        <v>1.0700000524520874</v>
      </c>
    </row>
    <row r="16" spans="2:22">
      <c r="B16" s="590"/>
      <c r="C16" s="27">
        <v>190</v>
      </c>
      <c r="D16" s="28">
        <v>0.93000000715255737</v>
      </c>
      <c r="E16" s="28">
        <v>0.97000002861022949</v>
      </c>
      <c r="F16" s="28">
        <v>1.0099999904632568</v>
      </c>
      <c r="G16" s="28">
        <v>1.0399999618530273</v>
      </c>
      <c r="H16" s="28">
        <v>1.0700000524520874</v>
      </c>
      <c r="I16" s="28">
        <v>1.1000000238418579</v>
      </c>
      <c r="J16" s="28">
        <v>1.1299999952316284</v>
      </c>
      <c r="K16" s="29">
        <v>1.1599999666213989</v>
      </c>
      <c r="M16" s="587"/>
      <c r="N16" s="27">
        <v>190</v>
      </c>
      <c r="O16" s="28" t="s">
        <v>114</v>
      </c>
      <c r="P16" s="28" t="s">
        <v>114</v>
      </c>
      <c r="Q16" s="28" t="s">
        <v>114</v>
      </c>
      <c r="R16" s="28">
        <v>0.81000000238418579</v>
      </c>
      <c r="S16" s="28">
        <v>0.87000000476837158</v>
      </c>
      <c r="T16" s="28">
        <v>0.95</v>
      </c>
      <c r="U16" s="28">
        <v>0.98</v>
      </c>
      <c r="V16" s="29">
        <v>1.0099999904632568</v>
      </c>
    </row>
    <row r="17" spans="2:22" ht="15" thickBot="1">
      <c r="B17" s="591"/>
      <c r="C17" s="33">
        <v>200</v>
      </c>
      <c r="D17" s="34">
        <v>0.8399999737739563</v>
      </c>
      <c r="E17" s="34">
        <v>0.87999999523162842</v>
      </c>
      <c r="F17" s="34">
        <v>0.93000000715255737</v>
      </c>
      <c r="G17" s="35">
        <v>0.99000000953674316</v>
      </c>
      <c r="H17" s="34">
        <v>1.0199999809265137</v>
      </c>
      <c r="I17" s="34">
        <v>1.0499999523162842</v>
      </c>
      <c r="J17" s="34">
        <v>1.0800000429153442</v>
      </c>
      <c r="K17" s="36">
        <v>1.1100000143051147</v>
      </c>
      <c r="M17" s="588"/>
      <c r="N17" s="33">
        <v>200</v>
      </c>
      <c r="O17" s="34" t="s">
        <v>114</v>
      </c>
      <c r="P17" s="34" t="s">
        <v>114</v>
      </c>
      <c r="Q17" s="34" t="s">
        <v>114</v>
      </c>
      <c r="R17" s="35" t="s">
        <v>114</v>
      </c>
      <c r="S17" s="34" t="s">
        <v>114</v>
      </c>
      <c r="T17" s="34">
        <v>0.82999998331069946</v>
      </c>
      <c r="U17" s="34">
        <v>0.88999998569488525</v>
      </c>
      <c r="V17" s="36">
        <v>0.95999997854232788</v>
      </c>
    </row>
    <row r="18" spans="2:22" ht="15" thickBot="1"/>
    <row r="19" spans="2:22" ht="16" thickBot="1">
      <c r="B19" s="585" t="s">
        <v>474</v>
      </c>
      <c r="C19" s="578"/>
      <c r="D19" s="577" t="s">
        <v>462</v>
      </c>
      <c r="E19" s="577"/>
      <c r="F19" s="577"/>
      <c r="G19" s="577"/>
      <c r="H19" s="577"/>
      <c r="I19" s="577"/>
      <c r="J19" s="577"/>
      <c r="K19" s="578"/>
      <c r="M19" s="585" t="s">
        <v>474</v>
      </c>
      <c r="N19" s="578"/>
      <c r="O19" s="577" t="s">
        <v>462</v>
      </c>
      <c r="P19" s="577"/>
      <c r="Q19" s="577"/>
      <c r="R19" s="577"/>
      <c r="S19" s="577"/>
      <c r="T19" s="577"/>
      <c r="U19" s="577"/>
      <c r="V19" s="578"/>
    </row>
    <row r="20" spans="2:22" ht="14.5" customHeight="1">
      <c r="B20" s="569" t="s">
        <v>469</v>
      </c>
      <c r="C20" s="569" t="s">
        <v>463</v>
      </c>
      <c r="D20" s="579" t="s">
        <v>464</v>
      </c>
      <c r="E20" s="580"/>
      <c r="F20" s="580"/>
      <c r="G20" s="580"/>
      <c r="H20" s="580"/>
      <c r="I20" s="580"/>
      <c r="J20" s="580"/>
      <c r="K20" s="581"/>
      <c r="M20" s="568" t="s">
        <v>469</v>
      </c>
      <c r="N20" s="569" t="s">
        <v>463</v>
      </c>
      <c r="O20" s="579" t="s">
        <v>464</v>
      </c>
      <c r="P20" s="580"/>
      <c r="Q20" s="580"/>
      <c r="R20" s="580"/>
      <c r="S20" s="580"/>
      <c r="T20" s="580"/>
      <c r="U20" s="580"/>
      <c r="V20" s="581"/>
    </row>
    <row r="21" spans="2:22" ht="15" thickBot="1">
      <c r="B21" s="569"/>
      <c r="C21" s="569"/>
      <c r="D21" s="582"/>
      <c r="E21" s="583"/>
      <c r="F21" s="583"/>
      <c r="G21" s="583"/>
      <c r="H21" s="583"/>
      <c r="I21" s="583"/>
      <c r="J21" s="583"/>
      <c r="K21" s="584"/>
      <c r="M21" s="569"/>
      <c r="N21" s="569"/>
      <c r="O21" s="582"/>
      <c r="P21" s="583"/>
      <c r="Q21" s="583"/>
      <c r="R21" s="583"/>
      <c r="S21" s="583"/>
      <c r="T21" s="583"/>
      <c r="U21" s="583"/>
      <c r="V21" s="584"/>
    </row>
    <row r="22" spans="2:22" ht="15" thickBot="1">
      <c r="B22" s="570"/>
      <c r="C22" s="569"/>
      <c r="D22" s="22">
        <v>0</v>
      </c>
      <c r="E22" s="22">
        <v>500</v>
      </c>
      <c r="F22" s="22">
        <v>1000</v>
      </c>
      <c r="G22" s="22">
        <v>1500</v>
      </c>
      <c r="H22" s="22">
        <v>2000</v>
      </c>
      <c r="I22" s="22">
        <v>2500</v>
      </c>
      <c r="J22" s="22">
        <v>3000</v>
      </c>
      <c r="K22" s="23">
        <v>3500</v>
      </c>
      <c r="M22" s="570"/>
      <c r="N22" s="570"/>
      <c r="O22" s="22">
        <v>0</v>
      </c>
      <c r="P22" s="22">
        <v>500</v>
      </c>
      <c r="Q22" s="22">
        <v>1000</v>
      </c>
      <c r="R22" s="22">
        <v>1500</v>
      </c>
      <c r="S22" s="22">
        <v>2000</v>
      </c>
      <c r="T22" s="22">
        <v>2500</v>
      </c>
      <c r="U22" s="22">
        <v>3000</v>
      </c>
      <c r="V22" s="23">
        <v>3500</v>
      </c>
    </row>
    <row r="23" spans="2:22" ht="14.5" customHeight="1">
      <c r="B23" s="586" t="s">
        <v>467</v>
      </c>
      <c r="C23" s="24">
        <v>100</v>
      </c>
      <c r="D23" s="25">
        <v>1.72</v>
      </c>
      <c r="E23" s="25">
        <v>1.76</v>
      </c>
      <c r="F23" s="25">
        <v>1.79</v>
      </c>
      <c r="G23" s="25">
        <v>1.83</v>
      </c>
      <c r="H23" s="25">
        <v>1.87</v>
      </c>
      <c r="I23" s="25">
        <v>1.92</v>
      </c>
      <c r="J23" s="25">
        <v>1.95</v>
      </c>
      <c r="K23" s="26">
        <v>2</v>
      </c>
      <c r="M23" s="586" t="s">
        <v>468</v>
      </c>
      <c r="N23" s="24">
        <v>100</v>
      </c>
      <c r="O23" s="25">
        <v>1.7000000476837158</v>
      </c>
      <c r="P23" s="25">
        <v>1.73</v>
      </c>
      <c r="Q23" s="25">
        <v>1.76</v>
      </c>
      <c r="R23" s="25">
        <v>1.8</v>
      </c>
      <c r="S23" s="25">
        <v>1.83</v>
      </c>
      <c r="T23" s="25">
        <v>1.87</v>
      </c>
      <c r="U23" s="25">
        <v>1.9</v>
      </c>
      <c r="V23" s="26">
        <v>1.940000057220459</v>
      </c>
    </row>
    <row r="24" spans="2:22">
      <c r="B24" s="587"/>
      <c r="C24" s="27">
        <v>110</v>
      </c>
      <c r="D24" s="28">
        <v>1.65</v>
      </c>
      <c r="E24" s="28">
        <v>1.65</v>
      </c>
      <c r="F24" s="28">
        <v>1.68</v>
      </c>
      <c r="G24" s="28">
        <v>1.71</v>
      </c>
      <c r="H24" s="28">
        <v>1.75</v>
      </c>
      <c r="I24" s="28">
        <v>1.78</v>
      </c>
      <c r="J24" s="28">
        <v>1.82</v>
      </c>
      <c r="K24" s="29">
        <v>1.85</v>
      </c>
      <c r="M24" s="587"/>
      <c r="N24" s="27">
        <v>110</v>
      </c>
      <c r="O24" s="28">
        <v>1.5700000524520874</v>
      </c>
      <c r="P24" s="28">
        <v>1.6</v>
      </c>
      <c r="Q24" s="28">
        <v>1.64</v>
      </c>
      <c r="R24" s="28">
        <v>1.68</v>
      </c>
      <c r="S24" s="28">
        <v>1.71</v>
      </c>
      <c r="T24" s="28">
        <v>1.75</v>
      </c>
      <c r="U24" s="28">
        <v>1.79</v>
      </c>
      <c r="V24" s="29">
        <v>1.8300000429153442</v>
      </c>
    </row>
    <row r="25" spans="2:22">
      <c r="B25" s="587"/>
      <c r="C25" s="30">
        <v>120</v>
      </c>
      <c r="D25" s="31">
        <v>1.6200000047683716</v>
      </c>
      <c r="E25" s="31">
        <v>1.6499999761581421</v>
      </c>
      <c r="F25" s="31">
        <v>1.6499999761581421</v>
      </c>
      <c r="G25" s="31">
        <v>1.6499999761581421</v>
      </c>
      <c r="H25" s="31">
        <v>1.6499999761581421</v>
      </c>
      <c r="I25" s="31">
        <v>1.6499999761581421</v>
      </c>
      <c r="J25" s="31">
        <v>1.68</v>
      </c>
      <c r="K25" s="32">
        <v>1.71</v>
      </c>
      <c r="M25" s="587"/>
      <c r="N25" s="30">
        <v>120</v>
      </c>
      <c r="O25" s="31">
        <v>1.4500000476837158</v>
      </c>
      <c r="P25" s="31">
        <v>1.49</v>
      </c>
      <c r="Q25" s="31">
        <v>1.53</v>
      </c>
      <c r="R25" s="31">
        <v>1.57</v>
      </c>
      <c r="S25" s="31">
        <v>1.61</v>
      </c>
      <c r="T25" s="31">
        <v>1.65</v>
      </c>
      <c r="U25" s="31">
        <v>1.69</v>
      </c>
      <c r="V25" s="32">
        <v>1.7300000190734863</v>
      </c>
    </row>
    <row r="26" spans="2:22">
      <c r="B26" s="587"/>
      <c r="C26" s="27">
        <v>130</v>
      </c>
      <c r="D26" s="28">
        <v>1.5099999904632568</v>
      </c>
      <c r="E26" s="28">
        <v>1.5399999618530273</v>
      </c>
      <c r="F26" s="28">
        <v>1.5800000429153442</v>
      </c>
      <c r="G26" s="28">
        <v>1.6299999952316284</v>
      </c>
      <c r="H26" s="28">
        <v>1.6499999761581421</v>
      </c>
      <c r="I26" s="28">
        <v>1.6499999761581421</v>
      </c>
      <c r="J26" s="28">
        <v>1.6499999761581421</v>
      </c>
      <c r="K26" s="29">
        <v>1.6499999761581421</v>
      </c>
      <c r="M26" s="587"/>
      <c r="N26" s="27">
        <v>130</v>
      </c>
      <c r="O26" s="28">
        <v>1.3700000047683716</v>
      </c>
      <c r="P26" s="28">
        <v>1.4</v>
      </c>
      <c r="Q26" s="28">
        <v>1.44</v>
      </c>
      <c r="R26" s="28">
        <v>1.48</v>
      </c>
      <c r="S26" s="28">
        <v>1.52</v>
      </c>
      <c r="T26" s="28">
        <v>1.56</v>
      </c>
      <c r="U26" s="28">
        <v>1.6</v>
      </c>
      <c r="V26" s="29">
        <v>1.6399999856948853</v>
      </c>
    </row>
    <row r="27" spans="2:22">
      <c r="B27" s="587"/>
      <c r="C27" s="30">
        <v>140</v>
      </c>
      <c r="D27" s="31">
        <v>1.4099999666213989</v>
      </c>
      <c r="E27" s="31">
        <v>1.4500000476837158</v>
      </c>
      <c r="F27" s="31">
        <v>1.4900000095367432</v>
      </c>
      <c r="G27" s="31">
        <v>1.5299999713897705</v>
      </c>
      <c r="H27" s="31">
        <v>1.559999942779541</v>
      </c>
      <c r="I27" s="31">
        <v>1.6000000238418579</v>
      </c>
      <c r="J27" s="31">
        <v>1.6399999856948853</v>
      </c>
      <c r="K27" s="32">
        <v>1.6499999761581421</v>
      </c>
      <c r="M27" s="587"/>
      <c r="N27" s="30">
        <v>140</v>
      </c>
      <c r="O27" s="31">
        <v>1.2699999809265137</v>
      </c>
      <c r="P27" s="31">
        <v>1.3</v>
      </c>
      <c r="Q27" s="31">
        <v>1.34</v>
      </c>
      <c r="R27" s="31">
        <v>1.38</v>
      </c>
      <c r="S27" s="31">
        <v>1.42</v>
      </c>
      <c r="T27" s="31">
        <v>1.46</v>
      </c>
      <c r="U27" s="31">
        <v>1.5</v>
      </c>
      <c r="V27" s="32">
        <v>1.5399999618530273</v>
      </c>
    </row>
    <row r="28" spans="2:22">
      <c r="B28" s="587"/>
      <c r="C28" s="27">
        <v>150</v>
      </c>
      <c r="D28" s="28">
        <v>1.3300000429153442</v>
      </c>
      <c r="E28" s="28">
        <v>1.37</v>
      </c>
      <c r="F28" s="28">
        <v>1.41</v>
      </c>
      <c r="G28" s="28">
        <v>1.45</v>
      </c>
      <c r="H28" s="28">
        <v>1.49</v>
      </c>
      <c r="I28" s="28">
        <v>1.53</v>
      </c>
      <c r="J28" s="28">
        <v>1.57</v>
      </c>
      <c r="K28" s="29">
        <v>1.6100000143051147</v>
      </c>
      <c r="M28" s="587"/>
      <c r="N28" s="27">
        <v>150</v>
      </c>
      <c r="O28" s="28">
        <v>1.1799999475479126</v>
      </c>
      <c r="P28" s="28">
        <v>1.21</v>
      </c>
      <c r="Q28" s="28">
        <v>1.25</v>
      </c>
      <c r="R28" s="28">
        <v>1.29</v>
      </c>
      <c r="S28" s="28">
        <v>1.32</v>
      </c>
      <c r="T28" s="28">
        <v>1.36</v>
      </c>
      <c r="U28" s="28">
        <v>1.4</v>
      </c>
      <c r="V28" s="29">
        <v>1.440000057220459</v>
      </c>
    </row>
    <row r="29" spans="2:22">
      <c r="B29" s="587"/>
      <c r="C29" s="30">
        <v>160</v>
      </c>
      <c r="D29" s="31">
        <v>1.2599999904632568</v>
      </c>
      <c r="E29" s="31">
        <v>1.29</v>
      </c>
      <c r="F29" s="31">
        <v>1.33</v>
      </c>
      <c r="G29" s="31">
        <v>1.37</v>
      </c>
      <c r="H29" s="31">
        <v>1.4</v>
      </c>
      <c r="I29" s="31">
        <v>1.44</v>
      </c>
      <c r="J29" s="31">
        <v>1.48</v>
      </c>
      <c r="K29" s="32">
        <v>1.5199999809265137</v>
      </c>
      <c r="M29" s="587"/>
      <c r="N29" s="30">
        <v>160</v>
      </c>
      <c r="O29" s="31">
        <v>1.1000000238418579</v>
      </c>
      <c r="P29" s="31">
        <v>1.1299999999999999</v>
      </c>
      <c r="Q29" s="31">
        <v>1.17</v>
      </c>
      <c r="R29" s="31">
        <v>1.21</v>
      </c>
      <c r="S29" s="31">
        <v>1.25</v>
      </c>
      <c r="T29" s="31">
        <v>1.29</v>
      </c>
      <c r="U29" s="31">
        <v>1.33</v>
      </c>
      <c r="V29" s="32">
        <v>1.3700000047683716</v>
      </c>
    </row>
    <row r="30" spans="2:22">
      <c r="B30" s="587"/>
      <c r="C30" s="27">
        <v>170</v>
      </c>
      <c r="D30" s="28">
        <v>1.190000057220459</v>
      </c>
      <c r="E30" s="28">
        <v>1.22</v>
      </c>
      <c r="F30" s="28">
        <v>1.26</v>
      </c>
      <c r="G30" s="28">
        <v>1.3</v>
      </c>
      <c r="H30" s="28">
        <v>1.33</v>
      </c>
      <c r="I30" s="28">
        <v>1.37</v>
      </c>
      <c r="J30" s="28">
        <v>1.41</v>
      </c>
      <c r="K30" s="29">
        <v>1.4500000476837158</v>
      </c>
      <c r="M30" s="587"/>
      <c r="N30" s="27">
        <v>170</v>
      </c>
      <c r="O30" s="28">
        <v>1.0299999713897705</v>
      </c>
      <c r="P30" s="28">
        <v>1.06</v>
      </c>
      <c r="Q30" s="28">
        <v>1.1000000000000001</v>
      </c>
      <c r="R30" s="28">
        <v>1.1399999999999999</v>
      </c>
      <c r="S30" s="28">
        <v>1.18</v>
      </c>
      <c r="T30" s="28">
        <v>1.22</v>
      </c>
      <c r="U30" s="28">
        <v>1.26</v>
      </c>
      <c r="V30" s="29">
        <v>1.2999999523162842</v>
      </c>
    </row>
    <row r="31" spans="2:22">
      <c r="B31" s="587"/>
      <c r="C31" s="30">
        <v>180</v>
      </c>
      <c r="D31" s="31">
        <v>1.1299999952316284</v>
      </c>
      <c r="E31" s="31">
        <v>1.1599999999999999</v>
      </c>
      <c r="F31" s="31">
        <v>1.2</v>
      </c>
      <c r="G31" s="31">
        <v>1.23</v>
      </c>
      <c r="H31" s="31">
        <v>1.27</v>
      </c>
      <c r="I31" s="31">
        <v>1.3</v>
      </c>
      <c r="J31" s="31">
        <v>1.34</v>
      </c>
      <c r="K31" s="32">
        <v>1.3799999952316284</v>
      </c>
      <c r="M31" s="587"/>
      <c r="N31" s="30">
        <v>180</v>
      </c>
      <c r="O31" s="31">
        <v>0.97000002861022949</v>
      </c>
      <c r="P31" s="31">
        <v>1</v>
      </c>
      <c r="Q31" s="31">
        <v>1.04</v>
      </c>
      <c r="R31" s="31">
        <v>1.07</v>
      </c>
      <c r="S31" s="31">
        <v>1.1100000000000001</v>
      </c>
      <c r="T31" s="31">
        <v>1.1399999999999999</v>
      </c>
      <c r="U31" s="31">
        <v>1.18</v>
      </c>
      <c r="V31" s="32">
        <v>1.2200000286102295</v>
      </c>
    </row>
    <row r="32" spans="2:22">
      <c r="B32" s="587"/>
      <c r="C32" s="27">
        <v>190</v>
      </c>
      <c r="D32" s="28">
        <v>1.0700000524520874</v>
      </c>
      <c r="E32" s="28">
        <v>1.1000000000000001</v>
      </c>
      <c r="F32" s="28">
        <v>1.1299999999999999</v>
      </c>
      <c r="G32" s="28">
        <v>1.1599999999999999</v>
      </c>
      <c r="H32" s="28">
        <v>1.2</v>
      </c>
      <c r="I32" s="28">
        <v>1.23</v>
      </c>
      <c r="J32" s="28">
        <v>1.26</v>
      </c>
      <c r="K32" s="29">
        <v>1.2999999523162842</v>
      </c>
      <c r="M32" s="587"/>
      <c r="N32" s="27">
        <v>190</v>
      </c>
      <c r="O32" s="28">
        <v>0.88999998569488525</v>
      </c>
      <c r="P32" s="28">
        <v>0.92</v>
      </c>
      <c r="Q32" s="28">
        <v>0.96</v>
      </c>
      <c r="R32" s="28">
        <v>1</v>
      </c>
      <c r="S32" s="28">
        <v>1.03</v>
      </c>
      <c r="T32" s="28">
        <v>1.07</v>
      </c>
      <c r="U32" s="28">
        <v>1.1100000000000001</v>
      </c>
      <c r="V32" s="29">
        <v>1.1499999761581421</v>
      </c>
    </row>
    <row r="33" spans="2:22" ht="15" thickBot="1">
      <c r="B33" s="588"/>
      <c r="C33" s="33">
        <v>200</v>
      </c>
      <c r="D33" s="34">
        <v>1.0199999809265137</v>
      </c>
      <c r="E33" s="34">
        <v>1.05</v>
      </c>
      <c r="F33" s="34">
        <v>1.08</v>
      </c>
      <c r="G33" s="35">
        <v>1.1100000000000001</v>
      </c>
      <c r="H33" s="34">
        <v>1.1499999999999999</v>
      </c>
      <c r="I33" s="34">
        <v>1.18</v>
      </c>
      <c r="J33" s="34">
        <v>1.21</v>
      </c>
      <c r="K33" s="36">
        <v>1.25</v>
      </c>
      <c r="M33" s="588"/>
      <c r="N33" s="33">
        <v>200</v>
      </c>
      <c r="O33" s="34">
        <v>0.80000001192092896</v>
      </c>
      <c r="P33" s="34">
        <v>0.84</v>
      </c>
      <c r="Q33" s="34">
        <v>0.88</v>
      </c>
      <c r="R33" s="35">
        <v>0.92</v>
      </c>
      <c r="S33" s="34">
        <v>0.97</v>
      </c>
      <c r="T33" s="34">
        <v>1.01</v>
      </c>
      <c r="U33" s="34">
        <v>1.05</v>
      </c>
      <c r="V33" s="36">
        <v>1.1000000238418579</v>
      </c>
    </row>
    <row r="34" spans="2:22" ht="15" thickBot="1"/>
    <row r="35" spans="2:22" ht="16" thickBot="1">
      <c r="B35" s="585" t="s">
        <v>474</v>
      </c>
      <c r="C35" s="578"/>
      <c r="D35" s="577" t="s">
        <v>462</v>
      </c>
      <c r="E35" s="577"/>
      <c r="F35" s="577"/>
      <c r="G35" s="577"/>
      <c r="H35" s="577"/>
      <c r="I35" s="577"/>
      <c r="J35" s="577"/>
      <c r="K35" s="578"/>
      <c r="M35" s="585" t="s">
        <v>474</v>
      </c>
      <c r="N35" s="578"/>
      <c r="O35" s="577" t="s">
        <v>462</v>
      </c>
      <c r="P35" s="577"/>
      <c r="Q35" s="577"/>
      <c r="R35" s="577"/>
      <c r="S35" s="577"/>
      <c r="T35" s="577"/>
      <c r="U35" s="577"/>
      <c r="V35" s="578"/>
    </row>
    <row r="36" spans="2:22">
      <c r="B36" s="569" t="s">
        <v>470</v>
      </c>
      <c r="C36" s="569" t="s">
        <v>463</v>
      </c>
      <c r="D36" s="579" t="s">
        <v>464</v>
      </c>
      <c r="E36" s="580"/>
      <c r="F36" s="580"/>
      <c r="G36" s="580"/>
      <c r="H36" s="580"/>
      <c r="I36" s="580"/>
      <c r="J36" s="580"/>
      <c r="K36" s="581"/>
      <c r="M36" s="568" t="s">
        <v>470</v>
      </c>
      <c r="N36" s="569" t="s">
        <v>463</v>
      </c>
      <c r="O36" s="579" t="s">
        <v>464</v>
      </c>
      <c r="P36" s="580"/>
      <c r="Q36" s="580"/>
      <c r="R36" s="580"/>
      <c r="S36" s="580"/>
      <c r="T36" s="580"/>
      <c r="U36" s="580"/>
      <c r="V36" s="581"/>
    </row>
    <row r="37" spans="2:22" ht="15" thickBot="1">
      <c r="B37" s="569"/>
      <c r="C37" s="569"/>
      <c r="D37" s="582"/>
      <c r="E37" s="583"/>
      <c r="F37" s="583"/>
      <c r="G37" s="583"/>
      <c r="H37" s="583"/>
      <c r="I37" s="583"/>
      <c r="J37" s="583"/>
      <c r="K37" s="584"/>
      <c r="M37" s="569"/>
      <c r="N37" s="569"/>
      <c r="O37" s="582"/>
      <c r="P37" s="583"/>
      <c r="Q37" s="583"/>
      <c r="R37" s="583"/>
      <c r="S37" s="583"/>
      <c r="T37" s="583"/>
      <c r="U37" s="583"/>
      <c r="V37" s="584"/>
    </row>
    <row r="38" spans="2:22" ht="15" thickBot="1">
      <c r="B38" s="570"/>
      <c r="C38" s="569"/>
      <c r="D38" s="22">
        <v>0</v>
      </c>
      <c r="E38" s="22">
        <v>500</v>
      </c>
      <c r="F38" s="22">
        <v>1000</v>
      </c>
      <c r="G38" s="22">
        <v>1500</v>
      </c>
      <c r="H38" s="22">
        <v>2000</v>
      </c>
      <c r="I38" s="22">
        <v>2500</v>
      </c>
      <c r="J38" s="22">
        <v>3000</v>
      </c>
      <c r="K38" s="23">
        <v>3500</v>
      </c>
      <c r="M38" s="570"/>
      <c r="N38" s="570"/>
      <c r="O38" s="22">
        <v>0</v>
      </c>
      <c r="P38" s="22">
        <v>500</v>
      </c>
      <c r="Q38" s="22">
        <v>1000</v>
      </c>
      <c r="R38" s="22">
        <v>1500</v>
      </c>
      <c r="S38" s="22">
        <v>2000</v>
      </c>
      <c r="T38" s="22">
        <v>2500</v>
      </c>
      <c r="U38" s="22">
        <v>3000</v>
      </c>
      <c r="V38" s="23">
        <v>3500</v>
      </c>
    </row>
    <row r="39" spans="2:22">
      <c r="B39" s="586" t="s">
        <v>467</v>
      </c>
      <c r="C39" s="24">
        <v>100</v>
      </c>
      <c r="D39" s="25">
        <v>1.8700000333786</v>
      </c>
      <c r="E39" s="25">
        <v>1.9200000047683701</v>
      </c>
      <c r="F39" s="25">
        <v>1.95</v>
      </c>
      <c r="G39" s="25">
        <v>1.98</v>
      </c>
      <c r="H39" s="25">
        <v>2</v>
      </c>
      <c r="I39" s="25">
        <v>2</v>
      </c>
      <c r="J39" s="25">
        <v>2</v>
      </c>
      <c r="K39" s="25">
        <v>2</v>
      </c>
      <c r="M39" s="586" t="s">
        <v>468</v>
      </c>
      <c r="N39" s="24">
        <v>100</v>
      </c>
      <c r="O39" s="25">
        <v>1.8400000333786011</v>
      </c>
      <c r="P39" s="25">
        <v>1.8700000047683716</v>
      </c>
      <c r="Q39" s="25">
        <v>1.8999999761581421</v>
      </c>
      <c r="R39" s="25">
        <v>1.940000057220459</v>
      </c>
      <c r="S39" s="25">
        <v>1.9500000476837158</v>
      </c>
      <c r="T39" s="25">
        <v>1.9500000476837158</v>
      </c>
      <c r="U39" s="25">
        <v>1.9500000476837158</v>
      </c>
      <c r="V39" s="26">
        <v>1.9500000476837158</v>
      </c>
    </row>
    <row r="40" spans="2:22">
      <c r="B40" s="587"/>
      <c r="C40" s="27">
        <v>110</v>
      </c>
      <c r="D40" s="28">
        <v>1.7800000190734799</v>
      </c>
      <c r="E40" s="28">
        <v>1.8299998092651</v>
      </c>
      <c r="F40" s="28">
        <v>1.8599999427795399</v>
      </c>
      <c r="G40" s="28">
        <v>1.8950000333785999</v>
      </c>
      <c r="H40" s="28">
        <v>1.9200000047683701</v>
      </c>
      <c r="I40" s="28">
        <v>1.9599999761581399</v>
      </c>
      <c r="J40" s="28">
        <v>1.98999994754791</v>
      </c>
      <c r="K40" s="29">
        <v>2</v>
      </c>
      <c r="M40" s="587"/>
      <c r="N40" s="27">
        <v>110</v>
      </c>
      <c r="O40" s="28">
        <v>1.7300000190734863</v>
      </c>
      <c r="P40" s="28">
        <v>1.7699999809265137</v>
      </c>
      <c r="Q40" s="28">
        <v>1.809999942779541</v>
      </c>
      <c r="R40" s="28">
        <v>1.8400000333786011</v>
      </c>
      <c r="S40" s="28">
        <v>1.8700000047683716</v>
      </c>
      <c r="T40" s="28">
        <v>1.8999999761581421</v>
      </c>
      <c r="U40" s="28">
        <v>1.9299999475479126</v>
      </c>
      <c r="V40" s="29">
        <v>1.9500000476837158</v>
      </c>
    </row>
    <row r="41" spans="2:22">
      <c r="B41" s="587"/>
      <c r="C41" s="30">
        <v>120</v>
      </c>
      <c r="D41" s="31">
        <v>1.64</v>
      </c>
      <c r="E41" s="31">
        <v>1.66</v>
      </c>
      <c r="F41" s="31">
        <v>1.74</v>
      </c>
      <c r="G41" s="31">
        <v>1.78</v>
      </c>
      <c r="H41" s="31">
        <v>1.81</v>
      </c>
      <c r="I41" s="31">
        <v>1.85</v>
      </c>
      <c r="J41" s="31">
        <v>1.88</v>
      </c>
      <c r="K41" s="32">
        <v>1.92</v>
      </c>
      <c r="M41" s="587"/>
      <c r="N41" s="30">
        <v>120</v>
      </c>
      <c r="O41" s="31">
        <v>1.6299999952316284</v>
      </c>
      <c r="P41" s="31">
        <v>1.66</v>
      </c>
      <c r="Q41" s="31">
        <v>1.69</v>
      </c>
      <c r="R41" s="31">
        <v>1.73</v>
      </c>
      <c r="S41" s="31">
        <v>1.76</v>
      </c>
      <c r="T41" s="31">
        <v>1.8</v>
      </c>
      <c r="U41" s="31">
        <v>1.83</v>
      </c>
      <c r="V41" s="32">
        <v>1.8700000047683716</v>
      </c>
    </row>
    <row r="42" spans="2:22">
      <c r="B42" s="587"/>
      <c r="C42" s="27">
        <v>130</v>
      </c>
      <c r="D42" s="28">
        <v>1.5199999809265137</v>
      </c>
      <c r="E42" s="28">
        <v>1.55</v>
      </c>
      <c r="F42" s="28">
        <v>1.59</v>
      </c>
      <c r="G42" s="28">
        <v>1.63</v>
      </c>
      <c r="H42" s="28">
        <v>1.67</v>
      </c>
      <c r="I42" s="28">
        <v>1.71</v>
      </c>
      <c r="J42" s="28">
        <v>1.75</v>
      </c>
      <c r="K42" s="29">
        <v>1.7899999618530273</v>
      </c>
      <c r="M42" s="587"/>
      <c r="N42" s="27">
        <v>130</v>
      </c>
      <c r="O42" s="28">
        <v>1.5199999809265137</v>
      </c>
      <c r="P42" s="28">
        <v>1.55</v>
      </c>
      <c r="Q42" s="28">
        <v>1.59</v>
      </c>
      <c r="R42" s="28">
        <v>1.63</v>
      </c>
      <c r="S42" s="28">
        <v>1.67</v>
      </c>
      <c r="T42" s="28">
        <v>1.71</v>
      </c>
      <c r="U42" s="28">
        <v>1.75</v>
      </c>
      <c r="V42" s="29">
        <v>1.7899999618530273</v>
      </c>
    </row>
    <row r="43" spans="2:22">
      <c r="B43" s="587"/>
      <c r="C43" s="30">
        <v>140</v>
      </c>
      <c r="D43" s="31">
        <v>1.5800000429153442</v>
      </c>
      <c r="E43" s="31">
        <v>1.6200000047683716</v>
      </c>
      <c r="F43" s="31">
        <v>1.6499999761581421</v>
      </c>
      <c r="G43" s="31">
        <v>1.6499999761581421</v>
      </c>
      <c r="H43" s="31">
        <v>1.6499999761581421</v>
      </c>
      <c r="I43" s="31">
        <v>1.6499999761581421</v>
      </c>
      <c r="J43" s="31">
        <v>1.6499999761581421</v>
      </c>
      <c r="K43" s="32">
        <v>1.65</v>
      </c>
      <c r="M43" s="587"/>
      <c r="N43" s="30">
        <v>140</v>
      </c>
      <c r="O43" s="31">
        <v>1.4299999475479126</v>
      </c>
      <c r="P43" s="31">
        <v>1.46</v>
      </c>
      <c r="Q43" s="31">
        <v>1.5</v>
      </c>
      <c r="R43" s="31">
        <v>1.54</v>
      </c>
      <c r="S43" s="31">
        <v>1.58</v>
      </c>
      <c r="T43" s="31">
        <v>1.63</v>
      </c>
      <c r="U43" s="31">
        <v>1.67</v>
      </c>
      <c r="V43" s="32">
        <v>1.7100000381469727</v>
      </c>
    </row>
    <row r="44" spans="2:22">
      <c r="B44" s="587"/>
      <c r="C44" s="27">
        <v>150</v>
      </c>
      <c r="D44" s="28">
        <v>1.4900000095367432</v>
      </c>
      <c r="E44" s="28">
        <v>1.5299999713897705</v>
      </c>
      <c r="F44" s="28">
        <v>1.5700000524520874</v>
      </c>
      <c r="G44" s="28">
        <v>1.6100000143051147</v>
      </c>
      <c r="H44" s="28">
        <v>1.6499999761581421</v>
      </c>
      <c r="I44" s="28">
        <v>1.6499999761581421</v>
      </c>
      <c r="J44" s="28">
        <v>1.6499999761581421</v>
      </c>
      <c r="K44" s="29">
        <v>1.65</v>
      </c>
      <c r="M44" s="587"/>
      <c r="N44" s="27">
        <v>150</v>
      </c>
      <c r="O44" s="28">
        <v>1.3400000333786011</v>
      </c>
      <c r="P44" s="28">
        <v>1.37</v>
      </c>
      <c r="Q44" s="28">
        <v>1.41</v>
      </c>
      <c r="R44" s="28">
        <v>1.45</v>
      </c>
      <c r="S44" s="28">
        <v>1.49</v>
      </c>
      <c r="T44" s="28">
        <v>1.53</v>
      </c>
      <c r="U44" s="28">
        <v>1.57</v>
      </c>
      <c r="V44" s="29">
        <v>1.6100000143051147</v>
      </c>
    </row>
    <row r="45" spans="2:22">
      <c r="B45" s="587"/>
      <c r="C45" s="30">
        <v>160</v>
      </c>
      <c r="D45" s="31">
        <v>1.3999999761581421</v>
      </c>
      <c r="E45" s="31">
        <v>1.440000057220459</v>
      </c>
      <c r="F45" s="31">
        <v>1.4800000190734863</v>
      </c>
      <c r="G45" s="31">
        <v>1.5199999809265137</v>
      </c>
      <c r="H45" s="31">
        <v>1.559999942779541</v>
      </c>
      <c r="I45" s="31">
        <v>1.6000000238418579</v>
      </c>
      <c r="J45" s="31">
        <v>1.6399999856948853</v>
      </c>
      <c r="K45" s="32">
        <v>1.65</v>
      </c>
      <c r="M45" s="587"/>
      <c r="N45" s="30">
        <v>160</v>
      </c>
      <c r="O45" s="31">
        <v>1.2599999904632568</v>
      </c>
      <c r="P45" s="31">
        <v>1.29</v>
      </c>
      <c r="Q45" s="31">
        <v>1.33</v>
      </c>
      <c r="R45" s="31">
        <v>1.37</v>
      </c>
      <c r="S45" s="31">
        <v>1.41</v>
      </c>
      <c r="T45" s="31">
        <v>1.45</v>
      </c>
      <c r="U45" s="31">
        <v>1.49</v>
      </c>
      <c r="V45" s="32">
        <v>1.5299999713897705</v>
      </c>
    </row>
    <row r="46" spans="2:22">
      <c r="B46" s="587"/>
      <c r="C46" s="27">
        <v>170</v>
      </c>
      <c r="D46" s="28">
        <v>1.3300000429153442</v>
      </c>
      <c r="E46" s="28">
        <v>1.37</v>
      </c>
      <c r="F46" s="28">
        <v>1.41</v>
      </c>
      <c r="G46" s="28">
        <v>1.45</v>
      </c>
      <c r="H46" s="28">
        <v>1.49</v>
      </c>
      <c r="I46" s="28">
        <v>1.53</v>
      </c>
      <c r="J46" s="28">
        <v>1.57</v>
      </c>
      <c r="K46" s="29">
        <v>1.6100000143051147</v>
      </c>
      <c r="M46" s="587"/>
      <c r="N46" s="27">
        <v>170</v>
      </c>
      <c r="O46" s="28">
        <v>1.190000057220459</v>
      </c>
      <c r="P46" s="28">
        <v>1.22</v>
      </c>
      <c r="Q46" s="28">
        <v>1.26</v>
      </c>
      <c r="R46" s="28">
        <v>1.3</v>
      </c>
      <c r="S46" s="28">
        <v>1.33</v>
      </c>
      <c r="T46" s="28">
        <v>1.37</v>
      </c>
      <c r="U46" s="28">
        <v>1.41</v>
      </c>
      <c r="V46" s="29">
        <v>1.4500000476837158</v>
      </c>
    </row>
    <row r="47" spans="2:22">
      <c r="B47" s="587"/>
      <c r="C47" s="30">
        <v>180</v>
      </c>
      <c r="D47" s="31">
        <v>1.2699999809265137</v>
      </c>
      <c r="E47" s="31">
        <v>1.3</v>
      </c>
      <c r="F47" s="31">
        <v>1.34</v>
      </c>
      <c r="G47" s="31">
        <v>1.38</v>
      </c>
      <c r="H47" s="31">
        <v>1.42</v>
      </c>
      <c r="I47" s="31">
        <v>1.46</v>
      </c>
      <c r="J47" s="31">
        <v>1.5</v>
      </c>
      <c r="K47" s="32">
        <v>1.5399999618530273</v>
      </c>
      <c r="M47" s="587"/>
      <c r="N47" s="30">
        <v>180</v>
      </c>
      <c r="O47" s="31">
        <v>1.1200000047683716</v>
      </c>
      <c r="P47" s="31">
        <v>1.1499999999999999</v>
      </c>
      <c r="Q47" s="31">
        <v>1.19</v>
      </c>
      <c r="R47" s="31">
        <v>1.23</v>
      </c>
      <c r="S47" s="31">
        <v>1.26</v>
      </c>
      <c r="T47" s="31">
        <v>1.3</v>
      </c>
      <c r="U47" s="31">
        <v>1.34</v>
      </c>
      <c r="V47" s="32">
        <v>1.3799999952316284</v>
      </c>
    </row>
    <row r="48" spans="2:22">
      <c r="B48" s="587"/>
      <c r="C48" s="27">
        <v>190</v>
      </c>
      <c r="D48" s="28">
        <v>1.2100000381469727</v>
      </c>
      <c r="E48" s="28">
        <v>1.24</v>
      </c>
      <c r="F48" s="28">
        <v>1.28</v>
      </c>
      <c r="G48" s="28">
        <v>1.32</v>
      </c>
      <c r="H48" s="28">
        <v>1.35</v>
      </c>
      <c r="I48" s="28">
        <v>1.39</v>
      </c>
      <c r="J48" s="28">
        <v>1.43</v>
      </c>
      <c r="K48" s="29">
        <v>1.4700000286102295</v>
      </c>
      <c r="M48" s="587"/>
      <c r="N48" s="27">
        <v>190</v>
      </c>
      <c r="O48" s="28">
        <v>1.0499999523162842</v>
      </c>
      <c r="P48" s="28">
        <v>1.08</v>
      </c>
      <c r="Q48" s="28">
        <v>1.1200000000000001</v>
      </c>
      <c r="R48" s="28">
        <v>1.1599999999999999</v>
      </c>
      <c r="S48" s="28">
        <v>1.2</v>
      </c>
      <c r="T48" s="28">
        <v>1.24</v>
      </c>
      <c r="U48" s="28">
        <v>1.28</v>
      </c>
      <c r="V48" s="29">
        <v>1.3200000524520874</v>
      </c>
    </row>
    <row r="49" spans="2:22" ht="15" thickBot="1">
      <c r="B49" s="588"/>
      <c r="C49" s="33">
        <v>200</v>
      </c>
      <c r="D49" s="34">
        <v>1.1599999666213989</v>
      </c>
      <c r="E49" s="34">
        <v>1.19</v>
      </c>
      <c r="F49" s="34">
        <v>1.22</v>
      </c>
      <c r="G49" s="35">
        <v>1.26</v>
      </c>
      <c r="H49" s="34">
        <v>1.29</v>
      </c>
      <c r="I49" s="34">
        <v>1.33</v>
      </c>
      <c r="J49" s="34">
        <v>1.36</v>
      </c>
      <c r="K49" s="36">
        <v>1.3999999761581421</v>
      </c>
      <c r="M49" s="588"/>
      <c r="N49" s="33">
        <v>200</v>
      </c>
      <c r="O49" s="34">
        <v>1</v>
      </c>
      <c r="P49" s="34">
        <v>1.03</v>
      </c>
      <c r="Q49" s="34">
        <v>1.07</v>
      </c>
      <c r="R49" s="35">
        <v>1.1000000000000001</v>
      </c>
      <c r="S49" s="34">
        <v>1.1399999999999999</v>
      </c>
      <c r="T49" s="34">
        <v>1.17</v>
      </c>
      <c r="U49" s="34">
        <v>1.21</v>
      </c>
      <c r="V49" s="36">
        <v>1.25</v>
      </c>
    </row>
    <row r="50" spans="2:22" ht="15" thickBot="1"/>
    <row r="51" spans="2:22" ht="16" thickBot="1">
      <c r="B51" s="585" t="s">
        <v>474</v>
      </c>
      <c r="C51" s="578"/>
      <c r="D51" s="577" t="s">
        <v>462</v>
      </c>
      <c r="E51" s="577"/>
      <c r="F51" s="577"/>
      <c r="G51" s="577"/>
      <c r="H51" s="577"/>
      <c r="I51" s="577"/>
      <c r="J51" s="577"/>
      <c r="K51" s="578"/>
      <c r="M51" s="585" t="s">
        <v>474</v>
      </c>
      <c r="N51" s="578"/>
      <c r="O51" s="577" t="s">
        <v>462</v>
      </c>
      <c r="P51" s="577"/>
      <c r="Q51" s="577"/>
      <c r="R51" s="577"/>
      <c r="S51" s="577"/>
      <c r="T51" s="577"/>
      <c r="U51" s="577"/>
      <c r="V51" s="578"/>
    </row>
    <row r="52" spans="2:22">
      <c r="B52" s="569" t="s">
        <v>471</v>
      </c>
      <c r="C52" s="569" t="s">
        <v>463</v>
      </c>
      <c r="D52" s="579" t="s">
        <v>464</v>
      </c>
      <c r="E52" s="580"/>
      <c r="F52" s="580"/>
      <c r="G52" s="580"/>
      <c r="H52" s="580"/>
      <c r="I52" s="580"/>
      <c r="J52" s="580"/>
      <c r="K52" s="581"/>
      <c r="M52" s="568" t="s">
        <v>471</v>
      </c>
      <c r="N52" s="569" t="s">
        <v>463</v>
      </c>
      <c r="O52" s="579" t="s">
        <v>464</v>
      </c>
      <c r="P52" s="580"/>
      <c r="Q52" s="580"/>
      <c r="R52" s="580"/>
      <c r="S52" s="580"/>
      <c r="T52" s="580"/>
      <c r="U52" s="580"/>
      <c r="V52" s="581"/>
    </row>
    <row r="53" spans="2:22" ht="15" thickBot="1">
      <c r="B53" s="569"/>
      <c r="C53" s="569"/>
      <c r="D53" s="582"/>
      <c r="E53" s="583"/>
      <c r="F53" s="583"/>
      <c r="G53" s="583"/>
      <c r="H53" s="583"/>
      <c r="I53" s="583"/>
      <c r="J53" s="583"/>
      <c r="K53" s="584"/>
      <c r="M53" s="569"/>
      <c r="N53" s="569"/>
      <c r="O53" s="582"/>
      <c r="P53" s="583"/>
      <c r="Q53" s="583"/>
      <c r="R53" s="583"/>
      <c r="S53" s="583"/>
      <c r="T53" s="583"/>
      <c r="U53" s="583"/>
      <c r="V53" s="584"/>
    </row>
    <row r="54" spans="2:22" ht="15" thickBot="1">
      <c r="B54" s="570"/>
      <c r="C54" s="569"/>
      <c r="D54" s="22">
        <v>0</v>
      </c>
      <c r="E54" s="22">
        <v>500</v>
      </c>
      <c r="F54" s="22">
        <v>1000</v>
      </c>
      <c r="G54" s="22">
        <v>1500</v>
      </c>
      <c r="H54" s="22">
        <v>2000</v>
      </c>
      <c r="I54" s="22">
        <v>2500</v>
      </c>
      <c r="J54" s="22">
        <v>3000</v>
      </c>
      <c r="K54" s="23">
        <v>3500</v>
      </c>
      <c r="M54" s="570"/>
      <c r="N54" s="570"/>
      <c r="O54" s="22">
        <v>0</v>
      </c>
      <c r="P54" s="22">
        <v>500</v>
      </c>
      <c r="Q54" s="22">
        <v>1000</v>
      </c>
      <c r="R54" s="22">
        <v>1500</v>
      </c>
      <c r="S54" s="22">
        <v>2000</v>
      </c>
      <c r="T54" s="22">
        <v>2500</v>
      </c>
      <c r="U54" s="22">
        <v>3000</v>
      </c>
      <c r="V54" s="23">
        <v>3500</v>
      </c>
    </row>
    <row r="55" spans="2:22">
      <c r="B55" s="586" t="s">
        <v>467</v>
      </c>
      <c r="C55" s="24">
        <v>100</v>
      </c>
      <c r="D55" s="25">
        <v>1.65</v>
      </c>
      <c r="E55" s="25">
        <v>1.65</v>
      </c>
      <c r="F55" s="25">
        <v>1.65</v>
      </c>
      <c r="G55" s="25">
        <v>1.65</v>
      </c>
      <c r="H55" s="25">
        <v>1.65</v>
      </c>
      <c r="I55" s="25">
        <v>1.65</v>
      </c>
      <c r="J55" s="25">
        <v>1.65</v>
      </c>
      <c r="K55" s="26">
        <v>1.65</v>
      </c>
      <c r="M55" s="586" t="s">
        <v>468</v>
      </c>
      <c r="N55" s="24">
        <v>100</v>
      </c>
      <c r="O55" s="25">
        <v>1.93</v>
      </c>
      <c r="P55" s="25">
        <v>1.93</v>
      </c>
      <c r="Q55" s="25">
        <v>1.93</v>
      </c>
      <c r="R55" s="25">
        <v>1.93</v>
      </c>
      <c r="S55" s="25">
        <v>1.93</v>
      </c>
      <c r="T55" s="25">
        <v>1.93</v>
      </c>
      <c r="U55" s="25">
        <v>1.93</v>
      </c>
      <c r="V55" s="26">
        <v>1.93</v>
      </c>
    </row>
    <row r="56" spans="2:22">
      <c r="B56" s="587"/>
      <c r="C56" s="27">
        <v>110</v>
      </c>
      <c r="D56" s="28">
        <v>1.65</v>
      </c>
      <c r="E56" s="28">
        <v>1.65</v>
      </c>
      <c r="F56" s="28">
        <v>1.65</v>
      </c>
      <c r="G56" s="28">
        <v>1.65</v>
      </c>
      <c r="H56" s="28">
        <v>1.65</v>
      </c>
      <c r="I56" s="28">
        <v>1.65</v>
      </c>
      <c r="J56" s="28">
        <v>1.65</v>
      </c>
      <c r="K56" s="29">
        <v>1.65</v>
      </c>
      <c r="M56" s="587"/>
      <c r="N56" s="27">
        <v>110</v>
      </c>
      <c r="O56" s="28">
        <v>1.8300000429153442</v>
      </c>
      <c r="P56" s="28">
        <v>1.8500000238418579</v>
      </c>
      <c r="Q56" s="28">
        <v>1.8799999952316284</v>
      </c>
      <c r="R56" s="28">
        <v>1.9099999666213989</v>
      </c>
      <c r="S56" s="28">
        <v>1.9299999475479126</v>
      </c>
      <c r="T56" s="28">
        <v>1.9299999475479126</v>
      </c>
      <c r="U56" s="28">
        <v>1.9299999475479126</v>
      </c>
      <c r="V56" s="29">
        <v>1.93</v>
      </c>
    </row>
    <row r="57" spans="2:22">
      <c r="B57" s="587"/>
      <c r="C57" s="30">
        <v>120</v>
      </c>
      <c r="D57" s="31">
        <v>1.65</v>
      </c>
      <c r="E57" s="31">
        <v>1.65</v>
      </c>
      <c r="F57" s="31">
        <v>1.65</v>
      </c>
      <c r="G57" s="31">
        <v>1.65</v>
      </c>
      <c r="H57" s="31">
        <v>1.65</v>
      </c>
      <c r="I57" s="31">
        <v>1.65</v>
      </c>
      <c r="J57" s="31">
        <v>1.65</v>
      </c>
      <c r="K57" s="32">
        <v>1.65</v>
      </c>
      <c r="M57" s="587"/>
      <c r="N57" s="30">
        <v>120</v>
      </c>
      <c r="O57" s="31">
        <v>1.7300000190734863</v>
      </c>
      <c r="P57" s="31">
        <v>1.7599999904632568</v>
      </c>
      <c r="Q57" s="31">
        <v>1.7999999523162842</v>
      </c>
      <c r="R57" s="31">
        <v>1.8300000429153442</v>
      </c>
      <c r="S57" s="31">
        <v>1.8600000143051147</v>
      </c>
      <c r="T57" s="31">
        <v>1.8899999856948853</v>
      </c>
      <c r="U57" s="31">
        <v>1.9199999570846558</v>
      </c>
      <c r="V57" s="32">
        <v>1.93</v>
      </c>
    </row>
    <row r="58" spans="2:22">
      <c r="B58" s="587"/>
      <c r="C58" s="27">
        <v>130</v>
      </c>
      <c r="D58" s="28">
        <v>1.65</v>
      </c>
      <c r="E58" s="28">
        <v>1.65</v>
      </c>
      <c r="F58" s="28">
        <v>1.65</v>
      </c>
      <c r="G58" s="28">
        <v>1.65</v>
      </c>
      <c r="H58" s="28">
        <v>1.65</v>
      </c>
      <c r="I58" s="28">
        <v>1.65</v>
      </c>
      <c r="J58" s="28">
        <v>1.65</v>
      </c>
      <c r="K58" s="29">
        <v>1.65</v>
      </c>
      <c r="M58" s="587"/>
      <c r="N58" s="27">
        <v>130</v>
      </c>
      <c r="O58" s="28">
        <v>1.6200000047683716</v>
      </c>
      <c r="P58" s="28">
        <v>1.65</v>
      </c>
      <c r="Q58" s="28">
        <v>1.69</v>
      </c>
      <c r="R58" s="28">
        <v>1.72</v>
      </c>
      <c r="S58" s="28">
        <v>1.76</v>
      </c>
      <c r="T58" s="28">
        <v>1.79</v>
      </c>
      <c r="U58" s="28">
        <v>1.83</v>
      </c>
      <c r="V58" s="29">
        <v>1.8700000047683716</v>
      </c>
    </row>
    <row r="59" spans="2:22">
      <c r="B59" s="587"/>
      <c r="C59" s="30">
        <v>140</v>
      </c>
      <c r="D59" s="31">
        <v>1.65</v>
      </c>
      <c r="E59" s="31">
        <v>1.65</v>
      </c>
      <c r="F59" s="31">
        <v>1.65</v>
      </c>
      <c r="G59" s="31">
        <v>1.65</v>
      </c>
      <c r="H59" s="31">
        <v>1.65</v>
      </c>
      <c r="I59" s="31">
        <v>1.65</v>
      </c>
      <c r="J59" s="31">
        <v>1.65</v>
      </c>
      <c r="K59" s="32">
        <v>1.65</v>
      </c>
      <c r="M59" s="587"/>
      <c r="N59" s="30">
        <v>140</v>
      </c>
      <c r="O59" s="31">
        <v>1.5199999809265137</v>
      </c>
      <c r="P59" s="31">
        <v>1.55</v>
      </c>
      <c r="Q59" s="31">
        <v>1.59</v>
      </c>
      <c r="R59" s="31">
        <v>1.63</v>
      </c>
      <c r="S59" s="31">
        <v>1.67</v>
      </c>
      <c r="T59" s="31">
        <v>1.71</v>
      </c>
      <c r="U59" s="31">
        <v>1.75</v>
      </c>
      <c r="V59" s="32">
        <v>1.7999999523162842</v>
      </c>
    </row>
    <row r="60" spans="2:22">
      <c r="B60" s="587"/>
      <c r="C60" s="27">
        <v>150</v>
      </c>
      <c r="D60" s="28">
        <v>1.6000000238418579</v>
      </c>
      <c r="E60" s="28">
        <v>1.6299999952316284</v>
      </c>
      <c r="F60" s="28">
        <v>1.6499999761581421</v>
      </c>
      <c r="G60" s="28">
        <v>1.6499999761581421</v>
      </c>
      <c r="H60" s="28">
        <v>1.6499999761581421</v>
      </c>
      <c r="I60" s="28">
        <v>1.6499999761581421</v>
      </c>
      <c r="J60" s="28">
        <v>1.6499999761581421</v>
      </c>
      <c r="K60" s="29">
        <v>1.65</v>
      </c>
      <c r="M60" s="587"/>
      <c r="N60" s="27">
        <v>150</v>
      </c>
      <c r="O60" s="28">
        <v>1.4299999475479126</v>
      </c>
      <c r="P60" s="28">
        <v>1.47</v>
      </c>
      <c r="Q60" s="28">
        <v>1.51</v>
      </c>
      <c r="R60" s="28">
        <v>1.55</v>
      </c>
      <c r="S60" s="28">
        <v>1.59</v>
      </c>
      <c r="T60" s="28">
        <v>1.63</v>
      </c>
      <c r="U60" s="28">
        <v>1.67</v>
      </c>
      <c r="V60" s="29">
        <v>1.7200000286102295</v>
      </c>
    </row>
    <row r="61" spans="2:22">
      <c r="B61" s="587"/>
      <c r="C61" s="30">
        <v>160</v>
      </c>
      <c r="D61" s="31">
        <v>1.5099999904632568</v>
      </c>
      <c r="E61" s="31">
        <v>1.5399999618530273</v>
      </c>
      <c r="F61" s="31">
        <v>1.5800000429153442</v>
      </c>
      <c r="G61" s="31">
        <v>1.6299999952316284</v>
      </c>
      <c r="H61" s="31">
        <v>1.6499999761581421</v>
      </c>
      <c r="I61" s="31">
        <v>1.6499999761581421</v>
      </c>
      <c r="J61" s="31">
        <v>1.6499999761581421</v>
      </c>
      <c r="K61" s="32">
        <v>1.65</v>
      </c>
      <c r="M61" s="587"/>
      <c r="N61" s="30">
        <v>160</v>
      </c>
      <c r="O61" s="31">
        <v>1.3600000143051147</v>
      </c>
      <c r="P61" s="31">
        <v>1.39</v>
      </c>
      <c r="Q61" s="31">
        <v>1.43</v>
      </c>
      <c r="R61" s="31">
        <v>1.47</v>
      </c>
      <c r="S61" s="31">
        <v>1.51</v>
      </c>
      <c r="T61" s="31">
        <v>1.55</v>
      </c>
      <c r="U61" s="31">
        <v>1.59</v>
      </c>
      <c r="V61" s="32">
        <v>1.6299999952316284</v>
      </c>
    </row>
    <row r="62" spans="2:22">
      <c r="B62" s="587"/>
      <c r="C62" s="27">
        <v>170</v>
      </c>
      <c r="D62" s="28">
        <v>1.4299999475479126</v>
      </c>
      <c r="E62" s="28">
        <v>1.4600000381469727</v>
      </c>
      <c r="F62" s="28">
        <v>1.5</v>
      </c>
      <c r="G62" s="28">
        <v>1.5399999618530273</v>
      </c>
      <c r="H62" s="28">
        <v>1.5800000429153442</v>
      </c>
      <c r="I62" s="28">
        <v>1.6299999952316284</v>
      </c>
      <c r="J62" s="28">
        <v>1.6499999761581421</v>
      </c>
      <c r="K62" s="29">
        <v>1.65</v>
      </c>
      <c r="M62" s="587"/>
      <c r="N62" s="27">
        <v>170</v>
      </c>
      <c r="O62" s="28">
        <v>1.2899999618530273</v>
      </c>
      <c r="P62" s="28">
        <v>1.32</v>
      </c>
      <c r="Q62" s="28">
        <v>1.36</v>
      </c>
      <c r="R62" s="28">
        <v>1.39</v>
      </c>
      <c r="S62" s="28">
        <v>1.43</v>
      </c>
      <c r="T62" s="28">
        <v>1.46</v>
      </c>
      <c r="U62" s="28">
        <v>1.5</v>
      </c>
      <c r="V62" s="29">
        <v>1.5399999618530273</v>
      </c>
    </row>
    <row r="63" spans="2:22">
      <c r="B63" s="587"/>
      <c r="C63" s="30">
        <v>180</v>
      </c>
      <c r="D63" s="31">
        <v>1.3600000143051147</v>
      </c>
      <c r="E63" s="31">
        <v>1.4</v>
      </c>
      <c r="F63" s="31">
        <v>1.44</v>
      </c>
      <c r="G63" s="31">
        <v>1.48</v>
      </c>
      <c r="H63" s="31">
        <v>1.51</v>
      </c>
      <c r="I63" s="31">
        <v>1.55</v>
      </c>
      <c r="J63" s="31">
        <v>1.59</v>
      </c>
      <c r="K63" s="32">
        <v>1.6399999856948853</v>
      </c>
      <c r="M63" s="587"/>
      <c r="N63" s="30">
        <v>180</v>
      </c>
      <c r="O63" s="31">
        <v>1.2100000381469727</v>
      </c>
      <c r="P63" s="31">
        <v>1.24</v>
      </c>
      <c r="Q63" s="31">
        <v>1.28</v>
      </c>
      <c r="R63" s="31">
        <v>1.32</v>
      </c>
      <c r="S63" s="31">
        <v>1.36</v>
      </c>
      <c r="T63" s="31">
        <v>1.4</v>
      </c>
      <c r="U63" s="31">
        <v>1.44</v>
      </c>
      <c r="V63" s="32">
        <v>1.4800000190734863</v>
      </c>
    </row>
    <row r="64" spans="2:22">
      <c r="B64" s="587"/>
      <c r="C64" s="27">
        <v>190</v>
      </c>
      <c r="D64" s="28">
        <v>1.2899999618530273</v>
      </c>
      <c r="E64" s="28">
        <v>1.32</v>
      </c>
      <c r="F64" s="28">
        <v>1.36</v>
      </c>
      <c r="G64" s="28">
        <v>1.4</v>
      </c>
      <c r="H64" s="28">
        <v>1.44</v>
      </c>
      <c r="I64" s="28">
        <v>1.48</v>
      </c>
      <c r="J64" s="28">
        <v>1.52</v>
      </c>
      <c r="K64" s="29">
        <v>1.559999942779541</v>
      </c>
      <c r="M64" s="587"/>
      <c r="N64" s="27">
        <v>190</v>
      </c>
      <c r="O64" s="28">
        <v>1.1399999856948853</v>
      </c>
      <c r="P64" s="28">
        <v>1.17</v>
      </c>
      <c r="Q64" s="28">
        <v>1.21</v>
      </c>
      <c r="R64" s="28">
        <v>1.25</v>
      </c>
      <c r="S64" s="28">
        <v>1.28</v>
      </c>
      <c r="T64" s="28">
        <v>1.32</v>
      </c>
      <c r="U64" s="28">
        <v>1.36</v>
      </c>
      <c r="V64" s="29">
        <v>1.3999999761581421</v>
      </c>
    </row>
    <row r="65" spans="2:22" ht="15" thickBot="1">
      <c r="B65" s="588"/>
      <c r="C65" s="33">
        <v>200</v>
      </c>
      <c r="D65" s="34">
        <v>1.2400000095367432</v>
      </c>
      <c r="E65" s="34">
        <v>1.27</v>
      </c>
      <c r="F65" s="34">
        <v>1.31</v>
      </c>
      <c r="G65" s="35">
        <v>1.34</v>
      </c>
      <c r="H65" s="34">
        <v>1.38</v>
      </c>
      <c r="I65" s="34">
        <v>1.41</v>
      </c>
      <c r="J65" s="34">
        <v>1.45</v>
      </c>
      <c r="K65" s="36">
        <v>1.4900000095367432</v>
      </c>
      <c r="M65" s="588"/>
      <c r="N65" s="33">
        <v>200</v>
      </c>
      <c r="O65" s="34">
        <v>1.0800000429153442</v>
      </c>
      <c r="P65" s="34">
        <v>1.1100000000000001</v>
      </c>
      <c r="Q65" s="34">
        <v>1.1499999999999999</v>
      </c>
      <c r="R65" s="35">
        <v>1.19</v>
      </c>
      <c r="S65" s="34">
        <v>1.22</v>
      </c>
      <c r="T65" s="34">
        <v>1.26</v>
      </c>
      <c r="U65" s="34">
        <v>1.3</v>
      </c>
      <c r="V65" s="36">
        <v>1.3400000333786011</v>
      </c>
    </row>
    <row r="66" spans="2:22" ht="15" thickBot="1"/>
    <row r="67" spans="2:22" ht="16" thickBot="1">
      <c r="B67" s="585" t="s">
        <v>474</v>
      </c>
      <c r="C67" s="578"/>
      <c r="D67" s="577" t="s">
        <v>462</v>
      </c>
      <c r="E67" s="577"/>
      <c r="F67" s="577"/>
      <c r="G67" s="577"/>
      <c r="H67" s="577"/>
      <c r="I67" s="577"/>
      <c r="J67" s="577"/>
      <c r="K67" s="578"/>
      <c r="M67" s="585" t="s">
        <v>474</v>
      </c>
      <c r="N67" s="578"/>
      <c r="O67" s="577" t="s">
        <v>462</v>
      </c>
      <c r="P67" s="577"/>
      <c r="Q67" s="577"/>
      <c r="R67" s="577"/>
      <c r="S67" s="577"/>
      <c r="T67" s="577"/>
      <c r="U67" s="577"/>
      <c r="V67" s="578"/>
    </row>
    <row r="68" spans="2:22" ht="14.5" customHeight="1">
      <c r="B68" s="568" t="s">
        <v>466</v>
      </c>
      <c r="C68" s="569" t="s">
        <v>463</v>
      </c>
      <c r="D68" s="579" t="s">
        <v>464</v>
      </c>
      <c r="E68" s="580"/>
      <c r="F68" s="580"/>
      <c r="G68" s="580"/>
      <c r="H68" s="580"/>
      <c r="I68" s="580"/>
      <c r="J68" s="580"/>
      <c r="K68" s="581"/>
      <c r="M68" s="568" t="s">
        <v>466</v>
      </c>
      <c r="N68" s="569" t="s">
        <v>463</v>
      </c>
      <c r="O68" s="579" t="s">
        <v>464</v>
      </c>
      <c r="P68" s="580"/>
      <c r="Q68" s="580"/>
      <c r="R68" s="580"/>
      <c r="S68" s="580"/>
      <c r="T68" s="580"/>
      <c r="U68" s="580"/>
      <c r="V68" s="581"/>
    </row>
    <row r="69" spans="2:22" ht="15" thickBot="1">
      <c r="B69" s="569"/>
      <c r="C69" s="569"/>
      <c r="D69" s="582"/>
      <c r="E69" s="583"/>
      <c r="F69" s="583"/>
      <c r="G69" s="583"/>
      <c r="H69" s="583"/>
      <c r="I69" s="583"/>
      <c r="J69" s="583"/>
      <c r="K69" s="584"/>
      <c r="M69" s="569"/>
      <c r="N69" s="569"/>
      <c r="O69" s="582"/>
      <c r="P69" s="583"/>
      <c r="Q69" s="583"/>
      <c r="R69" s="583"/>
      <c r="S69" s="583"/>
      <c r="T69" s="583"/>
      <c r="U69" s="583"/>
      <c r="V69" s="584"/>
    </row>
    <row r="70" spans="2:22" ht="15" thickBot="1">
      <c r="B70" s="570"/>
      <c r="C70" s="570"/>
      <c r="D70" s="22">
        <v>0</v>
      </c>
      <c r="E70" s="22">
        <v>500</v>
      </c>
      <c r="F70" s="22">
        <v>1000</v>
      </c>
      <c r="G70" s="22">
        <v>1500</v>
      </c>
      <c r="H70" s="22">
        <v>2000</v>
      </c>
      <c r="I70" s="22">
        <v>2500</v>
      </c>
      <c r="J70" s="22">
        <v>3000</v>
      </c>
      <c r="K70" s="23">
        <v>3500</v>
      </c>
      <c r="M70" s="570"/>
      <c r="N70" s="570"/>
      <c r="O70" s="22">
        <v>0</v>
      </c>
      <c r="P70" s="22">
        <v>500</v>
      </c>
      <c r="Q70" s="22">
        <v>1000</v>
      </c>
      <c r="R70" s="22">
        <v>1500</v>
      </c>
      <c r="S70" s="22">
        <v>2000</v>
      </c>
      <c r="T70" s="22">
        <v>2500</v>
      </c>
      <c r="U70" s="22">
        <v>3000</v>
      </c>
      <c r="V70" s="23">
        <v>3500</v>
      </c>
    </row>
    <row r="71" spans="2:22" ht="14.5" customHeight="1">
      <c r="B71" s="586" t="s">
        <v>472</v>
      </c>
      <c r="C71" s="24">
        <v>100</v>
      </c>
      <c r="D71" s="25">
        <v>1.1200000047683716</v>
      </c>
      <c r="E71" s="25">
        <v>1.19</v>
      </c>
      <c r="F71" s="25">
        <v>1.27</v>
      </c>
      <c r="G71" s="25">
        <v>1.35</v>
      </c>
      <c r="H71" s="25">
        <v>1.43</v>
      </c>
      <c r="I71" s="25">
        <v>1.51</v>
      </c>
      <c r="J71" s="25">
        <v>1.59</v>
      </c>
      <c r="K71" s="26">
        <v>1.6699999570846558</v>
      </c>
      <c r="M71" s="586" t="s">
        <v>473</v>
      </c>
      <c r="N71" s="24">
        <v>100</v>
      </c>
      <c r="O71" s="25">
        <v>1.1200000000000001</v>
      </c>
      <c r="P71" s="25">
        <v>1.1499999999999999</v>
      </c>
      <c r="Q71" s="25">
        <v>1.19</v>
      </c>
      <c r="R71" s="25">
        <v>1.23</v>
      </c>
      <c r="S71" s="25">
        <v>1.27</v>
      </c>
      <c r="T71" s="25">
        <v>1.31</v>
      </c>
      <c r="U71" s="25">
        <v>1.35</v>
      </c>
      <c r="V71" s="26">
        <v>1.3999999761581421</v>
      </c>
    </row>
    <row r="72" spans="2:22">
      <c r="B72" s="587"/>
      <c r="C72" s="27">
        <v>110</v>
      </c>
      <c r="D72" s="28">
        <v>1.23</v>
      </c>
      <c r="E72" s="28">
        <v>1.27</v>
      </c>
      <c r="F72" s="28">
        <v>1.31</v>
      </c>
      <c r="G72" s="28">
        <v>1.36</v>
      </c>
      <c r="H72" s="28">
        <v>1.4</v>
      </c>
      <c r="I72" s="28">
        <v>1.45</v>
      </c>
      <c r="J72" s="28">
        <v>1.49</v>
      </c>
      <c r="K72" s="29">
        <v>1.5399999618530273</v>
      </c>
      <c r="M72" s="587"/>
      <c r="N72" s="27">
        <v>110</v>
      </c>
      <c r="O72" s="28">
        <v>1.0099999904632568</v>
      </c>
      <c r="P72" s="28">
        <v>1.04</v>
      </c>
      <c r="Q72" s="28">
        <v>1.08</v>
      </c>
      <c r="R72" s="28">
        <v>1.1200000000000001</v>
      </c>
      <c r="S72" s="28">
        <v>1.1499999999999999</v>
      </c>
      <c r="T72" s="28">
        <v>1.19</v>
      </c>
      <c r="U72" s="28">
        <v>1.23</v>
      </c>
      <c r="V72" s="29">
        <v>1.2699999809265137</v>
      </c>
    </row>
    <row r="73" spans="2:22">
      <c r="B73" s="587"/>
      <c r="C73" s="30">
        <v>120</v>
      </c>
      <c r="D73" s="31">
        <v>1.1200000047683716</v>
      </c>
      <c r="E73" s="31">
        <v>1.1599999999999999</v>
      </c>
      <c r="F73" s="31">
        <v>1.2</v>
      </c>
      <c r="G73" s="31">
        <v>1.24</v>
      </c>
      <c r="H73" s="31">
        <v>1.28</v>
      </c>
      <c r="I73" s="31">
        <v>1.32</v>
      </c>
      <c r="J73" s="31">
        <v>1.36</v>
      </c>
      <c r="K73" s="32">
        <v>1.4099999666213989</v>
      </c>
      <c r="M73" s="587"/>
      <c r="N73" s="30">
        <v>120</v>
      </c>
      <c r="O73" s="31">
        <v>0.92000001668930054</v>
      </c>
      <c r="P73" s="31">
        <v>0.95</v>
      </c>
      <c r="Q73" s="31">
        <v>0.98</v>
      </c>
      <c r="R73" s="31">
        <v>1.02</v>
      </c>
      <c r="S73" s="31">
        <v>1.05</v>
      </c>
      <c r="T73" s="31">
        <v>1.0900000000000001</v>
      </c>
      <c r="U73" s="31">
        <v>1.1200000000000001</v>
      </c>
      <c r="V73" s="32">
        <v>1.1599999666213989</v>
      </c>
    </row>
    <row r="74" spans="2:22">
      <c r="B74" s="587"/>
      <c r="C74" s="27">
        <v>130</v>
      </c>
      <c r="D74" s="28">
        <v>1.0299999713897705</v>
      </c>
      <c r="E74" s="28">
        <v>1.06</v>
      </c>
      <c r="F74" s="28">
        <v>1.1000000000000001</v>
      </c>
      <c r="G74" s="28">
        <v>1.1399999999999999</v>
      </c>
      <c r="H74" s="28">
        <v>1.17</v>
      </c>
      <c r="I74" s="28">
        <v>1.21</v>
      </c>
      <c r="J74" s="28">
        <v>1.25</v>
      </c>
      <c r="K74" s="29">
        <v>1.2899999618530273</v>
      </c>
      <c r="M74" s="587"/>
      <c r="N74" s="27">
        <v>130</v>
      </c>
      <c r="O74" s="28">
        <v>0.8399999737739563</v>
      </c>
      <c r="P74" s="28">
        <v>0.87</v>
      </c>
      <c r="Q74" s="28">
        <v>0.9</v>
      </c>
      <c r="R74" s="28">
        <v>0.93</v>
      </c>
      <c r="S74" s="28">
        <v>0.96</v>
      </c>
      <c r="T74" s="28">
        <v>0.99</v>
      </c>
      <c r="U74" s="28">
        <v>1.02</v>
      </c>
      <c r="V74" s="29">
        <v>1.059999942779541</v>
      </c>
    </row>
    <row r="75" spans="2:22">
      <c r="B75" s="587"/>
      <c r="C75" s="30">
        <v>140</v>
      </c>
      <c r="D75" s="31">
        <v>0.94999998807907104</v>
      </c>
      <c r="E75" s="31">
        <v>0.98</v>
      </c>
      <c r="F75" s="31">
        <v>1.02</v>
      </c>
      <c r="G75" s="31">
        <v>1.05</v>
      </c>
      <c r="H75" s="31">
        <v>1.0900000000000001</v>
      </c>
      <c r="I75" s="31">
        <v>1.1200000000000001</v>
      </c>
      <c r="J75" s="31">
        <v>1.1599999999999999</v>
      </c>
      <c r="K75" s="32">
        <v>1.2000000476837158</v>
      </c>
      <c r="M75" s="587"/>
      <c r="N75" s="30">
        <v>140</v>
      </c>
      <c r="O75" s="31" t="s">
        <v>114</v>
      </c>
      <c r="P75" s="31" t="s">
        <v>114</v>
      </c>
      <c r="Q75" s="31">
        <v>0.81999999284744263</v>
      </c>
      <c r="R75" s="31">
        <v>0.86000001430511475</v>
      </c>
      <c r="S75" s="31">
        <v>0.91</v>
      </c>
      <c r="T75" s="31">
        <v>0.93</v>
      </c>
      <c r="U75" s="31">
        <v>0.95</v>
      </c>
      <c r="V75" s="32">
        <v>0.98000001907348633</v>
      </c>
    </row>
    <row r="76" spans="2:22">
      <c r="B76" s="587"/>
      <c r="C76" s="27">
        <v>150</v>
      </c>
      <c r="D76" s="28">
        <v>0.86000001430511475</v>
      </c>
      <c r="E76" s="28">
        <v>0.89</v>
      </c>
      <c r="F76" s="28">
        <v>0.93</v>
      </c>
      <c r="G76" s="28">
        <v>0.96</v>
      </c>
      <c r="H76" s="28">
        <v>1</v>
      </c>
      <c r="I76" s="28">
        <v>1.03</v>
      </c>
      <c r="J76" s="28">
        <v>1.07</v>
      </c>
      <c r="K76" s="29">
        <v>1.1100000143051147</v>
      </c>
      <c r="M76" s="587"/>
      <c r="N76" s="27">
        <v>150</v>
      </c>
      <c r="O76" s="28" t="s">
        <v>114</v>
      </c>
      <c r="P76" s="28" t="s">
        <v>114</v>
      </c>
      <c r="Q76" s="28" t="s">
        <v>114</v>
      </c>
      <c r="R76" s="28" t="s">
        <v>114</v>
      </c>
      <c r="S76" s="28">
        <v>0.80000001192092896</v>
      </c>
      <c r="T76" s="28">
        <v>0.85</v>
      </c>
      <c r="U76" s="28">
        <v>0.89</v>
      </c>
      <c r="V76" s="29">
        <v>0.9100000262260437</v>
      </c>
    </row>
    <row r="77" spans="2:22">
      <c r="B77" s="587"/>
      <c r="C77" s="30">
        <v>160</v>
      </c>
      <c r="D77" s="31" t="s">
        <v>114</v>
      </c>
      <c r="E77" s="31">
        <v>0.8</v>
      </c>
      <c r="F77" s="31">
        <v>0.86</v>
      </c>
      <c r="G77" s="31">
        <v>0.9</v>
      </c>
      <c r="H77" s="31">
        <v>0.93</v>
      </c>
      <c r="I77" s="31">
        <v>0.97</v>
      </c>
      <c r="J77" s="31">
        <v>1</v>
      </c>
      <c r="K77" s="32">
        <v>1.0399999618530273</v>
      </c>
      <c r="M77" s="587"/>
      <c r="N77" s="30">
        <v>160</v>
      </c>
      <c r="O77" s="31" t="s">
        <v>114</v>
      </c>
      <c r="P77" s="31" t="s">
        <v>114</v>
      </c>
      <c r="Q77" s="31" t="s">
        <v>114</v>
      </c>
      <c r="R77" s="31" t="s">
        <v>114</v>
      </c>
      <c r="S77" s="31" t="s">
        <v>114</v>
      </c>
      <c r="T77" s="31" t="s">
        <v>114</v>
      </c>
      <c r="U77" s="31">
        <v>0.80000001192092896</v>
      </c>
      <c r="V77" s="32">
        <v>0.85000002384185791</v>
      </c>
    </row>
    <row r="78" spans="2:22">
      <c r="B78" s="587"/>
      <c r="C78" s="27">
        <v>170</v>
      </c>
      <c r="D78" s="28" t="s">
        <v>114</v>
      </c>
      <c r="E78" s="28" t="s">
        <v>114</v>
      </c>
      <c r="F78" s="28" t="s">
        <v>114</v>
      </c>
      <c r="G78" s="28">
        <v>0.8</v>
      </c>
      <c r="H78" s="28">
        <v>0.89</v>
      </c>
      <c r="I78" s="28">
        <v>0.92</v>
      </c>
      <c r="J78" s="28">
        <v>0.94</v>
      </c>
      <c r="K78" s="29">
        <v>0.97000002861022949</v>
      </c>
      <c r="M78" s="587"/>
      <c r="N78" s="27">
        <v>170</v>
      </c>
      <c r="O78" s="28" t="s">
        <v>114</v>
      </c>
      <c r="P78" s="28" t="s">
        <v>114</v>
      </c>
      <c r="Q78" s="28" t="s">
        <v>114</v>
      </c>
      <c r="R78" s="28" t="s">
        <v>114</v>
      </c>
      <c r="S78" s="28" t="s">
        <v>114</v>
      </c>
      <c r="T78" s="28" t="s">
        <v>114</v>
      </c>
      <c r="U78" s="28" t="s">
        <v>114</v>
      </c>
      <c r="V78" s="29" t="s">
        <v>114</v>
      </c>
    </row>
    <row r="79" spans="2:22">
      <c r="B79" s="587"/>
      <c r="C79" s="30">
        <v>180</v>
      </c>
      <c r="D79" s="31" t="s">
        <v>114</v>
      </c>
      <c r="E79" s="31" t="s">
        <v>114</v>
      </c>
      <c r="F79" s="31" t="s">
        <v>114</v>
      </c>
      <c r="G79" s="31" t="s">
        <v>114</v>
      </c>
      <c r="H79" s="31" t="s">
        <v>114</v>
      </c>
      <c r="I79" s="31">
        <v>0.8</v>
      </c>
      <c r="J79" s="31">
        <v>0.89</v>
      </c>
      <c r="K79" s="32">
        <v>0.9100000262260437</v>
      </c>
      <c r="M79" s="587"/>
      <c r="N79" s="30">
        <v>180</v>
      </c>
      <c r="O79" s="31" t="s">
        <v>114</v>
      </c>
      <c r="P79" s="31" t="s">
        <v>114</v>
      </c>
      <c r="Q79" s="31" t="s">
        <v>114</v>
      </c>
      <c r="R79" s="31" t="s">
        <v>114</v>
      </c>
      <c r="S79" s="31" t="s">
        <v>114</v>
      </c>
      <c r="T79" s="31" t="s">
        <v>114</v>
      </c>
      <c r="U79" s="31" t="s">
        <v>114</v>
      </c>
      <c r="V79" s="32" t="s">
        <v>114</v>
      </c>
    </row>
    <row r="80" spans="2:22">
      <c r="B80" s="587"/>
      <c r="C80" s="27">
        <v>190</v>
      </c>
      <c r="D80" s="28" t="s">
        <v>114</v>
      </c>
      <c r="E80" s="28" t="s">
        <v>114</v>
      </c>
      <c r="F80" s="28" t="s">
        <v>114</v>
      </c>
      <c r="G80" s="28" t="s">
        <v>114</v>
      </c>
      <c r="H80" s="28" t="s">
        <v>114</v>
      </c>
      <c r="I80" s="28" t="s">
        <v>114</v>
      </c>
      <c r="J80" s="28" t="s">
        <v>114</v>
      </c>
      <c r="K80" s="29">
        <v>0.81999999284744263</v>
      </c>
      <c r="M80" s="587"/>
      <c r="N80" s="27">
        <v>190</v>
      </c>
      <c r="O80" s="28" t="s">
        <v>114</v>
      </c>
      <c r="P80" s="28" t="s">
        <v>114</v>
      </c>
      <c r="Q80" s="28" t="s">
        <v>114</v>
      </c>
      <c r="R80" s="28" t="s">
        <v>114</v>
      </c>
      <c r="S80" s="28" t="s">
        <v>114</v>
      </c>
      <c r="T80" s="28" t="s">
        <v>114</v>
      </c>
      <c r="U80" s="28" t="s">
        <v>114</v>
      </c>
      <c r="V80" s="29" t="s">
        <v>114</v>
      </c>
    </row>
    <row r="81" spans="2:22" ht="15" thickBot="1">
      <c r="B81" s="588"/>
      <c r="C81" s="33">
        <v>200</v>
      </c>
      <c r="D81" s="34" t="s">
        <v>114</v>
      </c>
      <c r="E81" s="34" t="s">
        <v>114</v>
      </c>
      <c r="F81" s="34" t="s">
        <v>114</v>
      </c>
      <c r="G81" s="35" t="s">
        <v>114</v>
      </c>
      <c r="H81" s="34" t="s">
        <v>114</v>
      </c>
      <c r="I81" s="34" t="s">
        <v>114</v>
      </c>
      <c r="J81" s="34" t="s">
        <v>114</v>
      </c>
      <c r="K81" s="36" t="s">
        <v>114</v>
      </c>
      <c r="M81" s="588"/>
      <c r="N81" s="33">
        <v>200</v>
      </c>
      <c r="O81" s="34" t="s">
        <v>114</v>
      </c>
      <c r="P81" s="34" t="s">
        <v>114</v>
      </c>
      <c r="Q81" s="34" t="s">
        <v>114</v>
      </c>
      <c r="R81" s="35" t="s">
        <v>114</v>
      </c>
      <c r="S81" s="34" t="s">
        <v>114</v>
      </c>
      <c r="T81" s="34" t="s">
        <v>114</v>
      </c>
      <c r="U81" s="34" t="s">
        <v>114</v>
      </c>
      <c r="V81" s="36" t="s">
        <v>114</v>
      </c>
    </row>
    <row r="82" spans="2:22" ht="15" thickBot="1"/>
    <row r="83" spans="2:22" ht="16" thickBot="1">
      <c r="B83" s="585" t="s">
        <v>474</v>
      </c>
      <c r="C83" s="578"/>
      <c r="D83" s="577" t="s">
        <v>462</v>
      </c>
      <c r="E83" s="577"/>
      <c r="F83" s="577"/>
      <c r="G83" s="577"/>
      <c r="H83" s="577"/>
      <c r="I83" s="577"/>
      <c r="J83" s="577"/>
      <c r="K83" s="578"/>
      <c r="M83" s="585" t="s">
        <v>474</v>
      </c>
      <c r="N83" s="578"/>
      <c r="O83" s="577" t="s">
        <v>462</v>
      </c>
      <c r="P83" s="577"/>
      <c r="Q83" s="577"/>
      <c r="R83" s="577"/>
      <c r="S83" s="577"/>
      <c r="T83" s="577"/>
      <c r="U83" s="577"/>
      <c r="V83" s="578"/>
    </row>
    <row r="84" spans="2:22">
      <c r="B84" s="568" t="s">
        <v>469</v>
      </c>
      <c r="C84" s="569" t="s">
        <v>463</v>
      </c>
      <c r="D84" s="579" t="s">
        <v>464</v>
      </c>
      <c r="E84" s="580"/>
      <c r="F84" s="580"/>
      <c r="G84" s="580"/>
      <c r="H84" s="580"/>
      <c r="I84" s="580"/>
      <c r="J84" s="580"/>
      <c r="K84" s="581"/>
      <c r="M84" s="568" t="s">
        <v>469</v>
      </c>
      <c r="N84" s="569" t="s">
        <v>463</v>
      </c>
      <c r="O84" s="579" t="s">
        <v>464</v>
      </c>
      <c r="P84" s="580"/>
      <c r="Q84" s="580"/>
      <c r="R84" s="580"/>
      <c r="S84" s="580"/>
      <c r="T84" s="580"/>
      <c r="U84" s="580"/>
      <c r="V84" s="581"/>
    </row>
    <row r="85" spans="2:22" ht="15" thickBot="1">
      <c r="B85" s="569"/>
      <c r="C85" s="569"/>
      <c r="D85" s="582"/>
      <c r="E85" s="583"/>
      <c r="F85" s="583"/>
      <c r="G85" s="583"/>
      <c r="H85" s="583"/>
      <c r="I85" s="583"/>
      <c r="J85" s="583"/>
      <c r="K85" s="584"/>
      <c r="M85" s="569"/>
      <c r="N85" s="569"/>
      <c r="O85" s="582"/>
      <c r="P85" s="583"/>
      <c r="Q85" s="583"/>
      <c r="R85" s="583"/>
      <c r="S85" s="583"/>
      <c r="T85" s="583"/>
      <c r="U85" s="583"/>
      <c r="V85" s="584"/>
    </row>
    <row r="86" spans="2:22" ht="15" thickBot="1">
      <c r="B86" s="570"/>
      <c r="C86" s="570"/>
      <c r="D86" s="22">
        <v>0</v>
      </c>
      <c r="E86" s="22">
        <v>500</v>
      </c>
      <c r="F86" s="22">
        <v>1000</v>
      </c>
      <c r="G86" s="22">
        <v>1500</v>
      </c>
      <c r="H86" s="22">
        <v>2000</v>
      </c>
      <c r="I86" s="22">
        <v>2500</v>
      </c>
      <c r="J86" s="22">
        <v>3000</v>
      </c>
      <c r="K86" s="23">
        <v>3500</v>
      </c>
      <c r="M86" s="570"/>
      <c r="N86" s="570"/>
      <c r="O86" s="22">
        <v>0</v>
      </c>
      <c r="P86" s="22">
        <v>500</v>
      </c>
      <c r="Q86" s="22">
        <v>1000</v>
      </c>
      <c r="R86" s="22">
        <v>1500</v>
      </c>
      <c r="S86" s="22">
        <v>2000</v>
      </c>
      <c r="T86" s="22">
        <v>2500</v>
      </c>
      <c r="U86" s="22">
        <v>3000</v>
      </c>
      <c r="V86" s="23">
        <v>3500</v>
      </c>
    </row>
    <row r="87" spans="2:22">
      <c r="B87" s="586" t="s">
        <v>472</v>
      </c>
      <c r="C87" s="24">
        <v>100</v>
      </c>
      <c r="D87" s="25">
        <v>1.2799999713897705</v>
      </c>
      <c r="E87" s="25">
        <v>1.35</v>
      </c>
      <c r="F87" s="25">
        <v>1.43</v>
      </c>
      <c r="G87" s="25">
        <v>1.51</v>
      </c>
      <c r="H87" s="25">
        <v>1.59</v>
      </c>
      <c r="I87" s="25">
        <v>1.67</v>
      </c>
      <c r="J87" s="25">
        <v>1.75</v>
      </c>
      <c r="K87" s="26">
        <v>1.8300000429153442</v>
      </c>
      <c r="M87" s="586" t="s">
        <v>473</v>
      </c>
      <c r="N87" s="24">
        <v>100</v>
      </c>
      <c r="O87" s="25">
        <v>1.2799999713897705</v>
      </c>
      <c r="P87" s="25">
        <v>1.32</v>
      </c>
      <c r="Q87" s="25">
        <v>1.37</v>
      </c>
      <c r="R87" s="25">
        <v>1.41</v>
      </c>
      <c r="S87" s="25">
        <v>1.46</v>
      </c>
      <c r="T87" s="25">
        <v>1.5</v>
      </c>
      <c r="U87" s="25">
        <v>1.55</v>
      </c>
      <c r="V87" s="26">
        <v>1.6000000238418579</v>
      </c>
    </row>
    <row r="88" spans="2:22">
      <c r="B88" s="587"/>
      <c r="C88" s="27">
        <v>110</v>
      </c>
      <c r="D88" s="28">
        <v>1.1599999666213989</v>
      </c>
      <c r="E88" s="28">
        <v>1.23</v>
      </c>
      <c r="F88" s="28">
        <v>1.31</v>
      </c>
      <c r="G88" s="28">
        <v>1.39</v>
      </c>
      <c r="H88" s="28">
        <v>1.47</v>
      </c>
      <c r="I88" s="28">
        <v>1.55</v>
      </c>
      <c r="J88" s="28">
        <v>1.63</v>
      </c>
      <c r="K88" s="29">
        <v>1.7100000381469727</v>
      </c>
      <c r="M88" s="587"/>
      <c r="N88" s="27">
        <v>110</v>
      </c>
      <c r="O88" s="28">
        <v>1.1599999666213989</v>
      </c>
      <c r="P88" s="28">
        <v>1.2</v>
      </c>
      <c r="Q88" s="28">
        <v>1.24</v>
      </c>
      <c r="R88" s="28">
        <v>1.28</v>
      </c>
      <c r="S88" s="28">
        <v>1.33</v>
      </c>
      <c r="T88" s="28">
        <v>1.37</v>
      </c>
      <c r="U88" s="28">
        <v>1.41</v>
      </c>
      <c r="V88" s="29">
        <v>1.4600000381469727</v>
      </c>
    </row>
    <row r="89" spans="2:22">
      <c r="B89" s="587"/>
      <c r="C89" s="30">
        <v>120</v>
      </c>
      <c r="D89" s="31">
        <v>1.2799999713897705</v>
      </c>
      <c r="E89" s="31">
        <v>1.32</v>
      </c>
      <c r="F89" s="31">
        <v>1.37</v>
      </c>
      <c r="G89" s="31">
        <v>1.41</v>
      </c>
      <c r="H89" s="31">
        <v>1.46</v>
      </c>
      <c r="I89" s="31">
        <v>1.5</v>
      </c>
      <c r="J89" s="31">
        <v>1.55</v>
      </c>
      <c r="K89" s="32">
        <v>1.6000000238418579</v>
      </c>
      <c r="M89" s="587"/>
      <c r="N89" s="30">
        <v>120</v>
      </c>
      <c r="O89" s="31">
        <v>1.059999942779541</v>
      </c>
      <c r="P89" s="31">
        <v>1.0900000000000001</v>
      </c>
      <c r="Q89" s="31">
        <v>1.1299999999999999</v>
      </c>
      <c r="R89" s="31">
        <v>1.17</v>
      </c>
      <c r="S89" s="31">
        <v>1.21</v>
      </c>
      <c r="T89" s="31">
        <v>1.25</v>
      </c>
      <c r="U89" s="31">
        <v>1.29</v>
      </c>
      <c r="V89" s="32">
        <v>1.3300000429153442</v>
      </c>
    </row>
    <row r="90" spans="2:22">
      <c r="B90" s="587"/>
      <c r="C90" s="27">
        <v>130</v>
      </c>
      <c r="D90" s="28">
        <v>1.1699999570846558</v>
      </c>
      <c r="E90" s="28">
        <v>1.21</v>
      </c>
      <c r="F90" s="28">
        <v>1.25</v>
      </c>
      <c r="G90" s="28">
        <v>1.3</v>
      </c>
      <c r="H90" s="28">
        <v>1.34</v>
      </c>
      <c r="I90" s="28">
        <v>1.39</v>
      </c>
      <c r="J90" s="28">
        <v>1.43</v>
      </c>
      <c r="K90" s="29">
        <v>1.4800000190734863</v>
      </c>
      <c r="M90" s="587"/>
      <c r="N90" s="27">
        <v>130</v>
      </c>
      <c r="O90" s="28">
        <v>0.97000002861022949</v>
      </c>
      <c r="P90" s="28">
        <v>1</v>
      </c>
      <c r="Q90" s="28">
        <v>1.04</v>
      </c>
      <c r="R90" s="28">
        <v>1.07</v>
      </c>
      <c r="S90" s="28">
        <v>1.1100000000000001</v>
      </c>
      <c r="T90" s="28">
        <v>1.1399999999999999</v>
      </c>
      <c r="U90" s="28">
        <v>1.18</v>
      </c>
      <c r="V90" s="29">
        <v>1.2200000286102295</v>
      </c>
    </row>
    <row r="91" spans="2:22">
      <c r="B91" s="587"/>
      <c r="C91" s="30">
        <v>140</v>
      </c>
      <c r="D91" s="31">
        <v>1.0900000333786011</v>
      </c>
      <c r="E91" s="31">
        <v>1.1299999999999999</v>
      </c>
      <c r="F91" s="31">
        <v>1.17</v>
      </c>
      <c r="G91" s="31">
        <v>1.21</v>
      </c>
      <c r="H91" s="31">
        <v>1.25</v>
      </c>
      <c r="I91" s="31">
        <v>1.29</v>
      </c>
      <c r="J91" s="31">
        <v>1.33</v>
      </c>
      <c r="K91" s="32">
        <v>1.3700000047683716</v>
      </c>
      <c r="M91" s="587"/>
      <c r="N91" s="30">
        <v>140</v>
      </c>
      <c r="O91" s="31">
        <v>0.89999997615814209</v>
      </c>
      <c r="P91" s="31">
        <v>0.93</v>
      </c>
      <c r="Q91" s="31">
        <v>0.96</v>
      </c>
      <c r="R91" s="31">
        <v>0.99</v>
      </c>
      <c r="S91" s="31">
        <v>1.03</v>
      </c>
      <c r="T91" s="31">
        <v>1.06</v>
      </c>
      <c r="U91" s="31">
        <v>1.0900000000000001</v>
      </c>
      <c r="V91" s="32">
        <v>1.1299999952316284</v>
      </c>
    </row>
    <row r="92" spans="2:22">
      <c r="B92" s="587"/>
      <c r="C92" s="27">
        <v>150</v>
      </c>
      <c r="D92" s="28">
        <v>1.0099999904632568</v>
      </c>
      <c r="E92" s="28">
        <v>1.04</v>
      </c>
      <c r="F92" s="28">
        <v>1.08</v>
      </c>
      <c r="G92" s="28">
        <v>1.1200000000000001</v>
      </c>
      <c r="H92" s="28">
        <v>1.1499999999999999</v>
      </c>
      <c r="I92" s="28">
        <v>1.19</v>
      </c>
      <c r="J92" s="28">
        <v>1.23</v>
      </c>
      <c r="K92" s="29">
        <v>1.2699999809265137</v>
      </c>
      <c r="M92" s="587"/>
      <c r="N92" s="27">
        <v>150</v>
      </c>
      <c r="O92" s="28">
        <v>0.81999999284744263</v>
      </c>
      <c r="P92" s="28">
        <v>0.85</v>
      </c>
      <c r="Q92" s="28">
        <v>0.88</v>
      </c>
      <c r="R92" s="28">
        <v>0.91</v>
      </c>
      <c r="S92" s="28">
        <v>0.95</v>
      </c>
      <c r="T92" s="28">
        <v>0.98</v>
      </c>
      <c r="U92" s="28">
        <v>1.01</v>
      </c>
      <c r="V92" s="29">
        <v>1.0499999523162842</v>
      </c>
    </row>
    <row r="93" spans="2:22">
      <c r="B93" s="587"/>
      <c r="C93" s="30">
        <v>160</v>
      </c>
      <c r="D93" s="31">
        <v>0.94999998807907104</v>
      </c>
      <c r="E93" s="31">
        <v>0.98</v>
      </c>
      <c r="F93" s="31">
        <v>1.01</v>
      </c>
      <c r="G93" s="31">
        <v>1.04</v>
      </c>
      <c r="H93" s="31">
        <v>1.08</v>
      </c>
      <c r="I93" s="31">
        <v>1.1100000000000001</v>
      </c>
      <c r="J93" s="31">
        <v>1.1399999999999999</v>
      </c>
      <c r="K93" s="32">
        <v>1.1799999475479126</v>
      </c>
      <c r="M93" s="587"/>
      <c r="N93" s="30">
        <v>160</v>
      </c>
      <c r="O93" s="31" t="s">
        <v>114</v>
      </c>
      <c r="P93" s="31" t="s">
        <v>114</v>
      </c>
      <c r="Q93" s="31">
        <v>0.80000001192092896</v>
      </c>
      <c r="R93" s="31">
        <v>0.85000002384185791</v>
      </c>
      <c r="S93" s="31">
        <v>0.87999999523162842</v>
      </c>
      <c r="T93" s="31">
        <v>0.92</v>
      </c>
      <c r="U93" s="31">
        <v>0.95</v>
      </c>
      <c r="V93" s="32">
        <v>0.98000001907348633</v>
      </c>
    </row>
    <row r="94" spans="2:22">
      <c r="B94" s="587"/>
      <c r="C94" s="27">
        <v>170</v>
      </c>
      <c r="D94" s="28">
        <v>0.87000000476837158</v>
      </c>
      <c r="E94" s="28">
        <v>0.9</v>
      </c>
      <c r="F94" s="28">
        <v>0.93</v>
      </c>
      <c r="G94" s="28">
        <v>0.97</v>
      </c>
      <c r="H94" s="28">
        <v>1</v>
      </c>
      <c r="I94" s="28">
        <v>1.04</v>
      </c>
      <c r="J94" s="28">
        <v>1.07</v>
      </c>
      <c r="K94" s="29">
        <v>1.1100000143051147</v>
      </c>
      <c r="M94" s="587"/>
      <c r="N94" s="27">
        <v>170</v>
      </c>
      <c r="O94" s="28" t="s">
        <v>114</v>
      </c>
      <c r="P94" s="28" t="s">
        <v>114</v>
      </c>
      <c r="Q94" s="28" t="s">
        <v>114</v>
      </c>
      <c r="R94" s="28" t="s">
        <v>114</v>
      </c>
      <c r="S94" s="28">
        <v>0.80000001192092896</v>
      </c>
      <c r="T94" s="28">
        <v>0.87</v>
      </c>
      <c r="U94" s="28">
        <v>0.89</v>
      </c>
      <c r="V94" s="29">
        <v>0.9100000262260437</v>
      </c>
    </row>
    <row r="95" spans="2:22">
      <c r="B95" s="587"/>
      <c r="C95" s="30">
        <v>180</v>
      </c>
      <c r="D95" s="31" t="s">
        <v>114</v>
      </c>
      <c r="E95" s="31">
        <v>0.81000000238418579</v>
      </c>
      <c r="F95" s="31">
        <v>0.87000000476837158</v>
      </c>
      <c r="G95" s="31">
        <v>0.92000001668929998</v>
      </c>
      <c r="H95" s="31">
        <v>0.94</v>
      </c>
      <c r="I95" s="31">
        <v>0.98</v>
      </c>
      <c r="J95" s="31">
        <v>1.01</v>
      </c>
      <c r="K95" s="32">
        <v>1.04999995231628</v>
      </c>
      <c r="M95" s="587"/>
      <c r="N95" s="30">
        <v>180</v>
      </c>
      <c r="O95" s="31" t="s">
        <v>114</v>
      </c>
      <c r="P95" s="31" t="s">
        <v>114</v>
      </c>
      <c r="Q95" s="31" t="s">
        <v>114</v>
      </c>
      <c r="R95" s="31" t="s">
        <v>114</v>
      </c>
      <c r="S95" s="31" t="s">
        <v>114</v>
      </c>
      <c r="T95" s="31" t="s">
        <v>114</v>
      </c>
      <c r="U95" s="31">
        <v>0.81000000238418579</v>
      </c>
      <c r="V95" s="32">
        <v>0.86000001430511475</v>
      </c>
    </row>
    <row r="96" spans="2:22">
      <c r="B96" s="587"/>
      <c r="C96" s="27">
        <v>190</v>
      </c>
      <c r="D96" s="28" t="s">
        <v>114</v>
      </c>
      <c r="E96" s="28" t="s">
        <v>114</v>
      </c>
      <c r="F96" s="28" t="s">
        <v>114</v>
      </c>
      <c r="G96" s="28">
        <v>0.82999998331069946</v>
      </c>
      <c r="H96" s="28">
        <v>0.92</v>
      </c>
      <c r="I96" s="28">
        <v>0.94</v>
      </c>
      <c r="J96" s="28">
        <v>0.96</v>
      </c>
      <c r="K96" s="29">
        <v>0.99000000953674316</v>
      </c>
      <c r="M96" s="587"/>
      <c r="N96" s="27">
        <v>190</v>
      </c>
      <c r="O96" s="28" t="s">
        <v>114</v>
      </c>
      <c r="P96" s="28" t="s">
        <v>114</v>
      </c>
      <c r="Q96" s="28" t="s">
        <v>114</v>
      </c>
      <c r="R96" s="28" t="s">
        <v>114</v>
      </c>
      <c r="S96" s="28" t="s">
        <v>114</v>
      </c>
      <c r="T96" s="28" t="s">
        <v>114</v>
      </c>
      <c r="U96" s="28" t="s">
        <v>114</v>
      </c>
      <c r="V96" s="29" t="s">
        <v>114</v>
      </c>
    </row>
    <row r="97" spans="2:22" ht="15" thickBot="1">
      <c r="B97" s="588"/>
      <c r="C97" s="33">
        <v>200</v>
      </c>
      <c r="D97" s="34" t="s">
        <v>114</v>
      </c>
      <c r="E97" s="34" t="s">
        <v>114</v>
      </c>
      <c r="F97" s="34" t="s">
        <v>114</v>
      </c>
      <c r="G97" s="35" t="s">
        <v>114</v>
      </c>
      <c r="H97" s="34" t="s">
        <v>114</v>
      </c>
      <c r="I97" s="34">
        <v>0.82999998331069946</v>
      </c>
      <c r="J97" s="34">
        <v>0.88999998569488525</v>
      </c>
      <c r="K97" s="36">
        <v>0.93999999761581421</v>
      </c>
      <c r="M97" s="588"/>
      <c r="N97" s="33">
        <v>200</v>
      </c>
      <c r="O97" s="34" t="s">
        <v>114</v>
      </c>
      <c r="P97" s="34" t="s">
        <v>114</v>
      </c>
      <c r="Q97" s="34" t="s">
        <v>114</v>
      </c>
      <c r="R97" s="35" t="s">
        <v>114</v>
      </c>
      <c r="S97" s="34" t="s">
        <v>114</v>
      </c>
      <c r="T97" s="34" t="s">
        <v>114</v>
      </c>
      <c r="U97" s="34" t="s">
        <v>114</v>
      </c>
      <c r="V97" s="36" t="s">
        <v>114</v>
      </c>
    </row>
    <row r="98" spans="2:22" ht="15" thickBot="1"/>
    <row r="99" spans="2:22" ht="16" thickBot="1">
      <c r="B99" s="585" t="s">
        <v>474</v>
      </c>
      <c r="C99" s="578"/>
      <c r="D99" s="577" t="s">
        <v>462</v>
      </c>
      <c r="E99" s="577"/>
      <c r="F99" s="577"/>
      <c r="G99" s="577"/>
      <c r="H99" s="577"/>
      <c r="I99" s="577"/>
      <c r="J99" s="577"/>
      <c r="K99" s="578"/>
      <c r="M99" s="585" t="s">
        <v>474</v>
      </c>
      <c r="N99" s="578"/>
      <c r="O99" s="577" t="s">
        <v>462</v>
      </c>
      <c r="P99" s="577"/>
      <c r="Q99" s="577"/>
      <c r="R99" s="577"/>
      <c r="S99" s="577"/>
      <c r="T99" s="577"/>
      <c r="U99" s="577"/>
      <c r="V99" s="578"/>
    </row>
    <row r="100" spans="2:22">
      <c r="B100" s="568" t="s">
        <v>470</v>
      </c>
      <c r="C100" s="569" t="s">
        <v>463</v>
      </c>
      <c r="D100" s="579" t="s">
        <v>464</v>
      </c>
      <c r="E100" s="580"/>
      <c r="F100" s="580"/>
      <c r="G100" s="580"/>
      <c r="H100" s="580"/>
      <c r="I100" s="580"/>
      <c r="J100" s="580"/>
      <c r="K100" s="581"/>
      <c r="M100" s="568" t="s">
        <v>470</v>
      </c>
      <c r="N100" s="569" t="s">
        <v>463</v>
      </c>
      <c r="O100" s="579" t="s">
        <v>464</v>
      </c>
      <c r="P100" s="580"/>
      <c r="Q100" s="580"/>
      <c r="R100" s="580"/>
      <c r="S100" s="580"/>
      <c r="T100" s="580"/>
      <c r="U100" s="580"/>
      <c r="V100" s="581"/>
    </row>
    <row r="101" spans="2:22" ht="15" thickBot="1">
      <c r="B101" s="569"/>
      <c r="C101" s="569"/>
      <c r="D101" s="582"/>
      <c r="E101" s="583"/>
      <c r="F101" s="583"/>
      <c r="G101" s="583"/>
      <c r="H101" s="583"/>
      <c r="I101" s="583"/>
      <c r="J101" s="583"/>
      <c r="K101" s="584"/>
      <c r="M101" s="569"/>
      <c r="N101" s="569"/>
      <c r="O101" s="582"/>
      <c r="P101" s="583"/>
      <c r="Q101" s="583"/>
      <c r="R101" s="583"/>
      <c r="S101" s="583"/>
      <c r="T101" s="583"/>
      <c r="U101" s="583"/>
      <c r="V101" s="584"/>
    </row>
    <row r="102" spans="2:22" ht="15" thickBot="1">
      <c r="B102" s="570"/>
      <c r="C102" s="570"/>
      <c r="D102" s="22">
        <v>0</v>
      </c>
      <c r="E102" s="22">
        <v>500</v>
      </c>
      <c r="F102" s="22">
        <v>1000</v>
      </c>
      <c r="G102" s="22">
        <v>1500</v>
      </c>
      <c r="H102" s="22">
        <v>2000</v>
      </c>
      <c r="I102" s="22">
        <v>2500</v>
      </c>
      <c r="J102" s="22">
        <v>3000</v>
      </c>
      <c r="K102" s="23">
        <v>3500</v>
      </c>
      <c r="M102" s="570"/>
      <c r="N102" s="570"/>
      <c r="O102" s="22">
        <v>0</v>
      </c>
      <c r="P102" s="22">
        <v>500</v>
      </c>
      <c r="Q102" s="22">
        <v>1000</v>
      </c>
      <c r="R102" s="22">
        <v>1500</v>
      </c>
      <c r="S102" s="22">
        <v>2000</v>
      </c>
      <c r="T102" s="22">
        <v>2500</v>
      </c>
      <c r="U102" s="22">
        <v>3000</v>
      </c>
      <c r="V102" s="23">
        <v>3500</v>
      </c>
    </row>
    <row r="103" spans="2:22">
      <c r="B103" s="586" t="s">
        <v>472</v>
      </c>
      <c r="C103" s="24">
        <v>100</v>
      </c>
      <c r="D103" s="25">
        <v>1.4700000286102295</v>
      </c>
      <c r="E103" s="25">
        <v>1.54</v>
      </c>
      <c r="F103" s="25">
        <v>1.61</v>
      </c>
      <c r="G103" s="25">
        <v>1.68</v>
      </c>
      <c r="H103" s="25">
        <v>1.75</v>
      </c>
      <c r="I103" s="25">
        <v>1.82</v>
      </c>
      <c r="J103" s="25">
        <v>1.89</v>
      </c>
      <c r="K103" s="26">
        <v>1.9700000286102295</v>
      </c>
      <c r="M103" s="586" t="s">
        <v>473</v>
      </c>
      <c r="N103" s="24">
        <v>100</v>
      </c>
      <c r="O103" s="25">
        <v>1.4700000286102295</v>
      </c>
      <c r="P103" s="25">
        <v>1.51</v>
      </c>
      <c r="Q103" s="25">
        <v>1.56</v>
      </c>
      <c r="R103" s="25">
        <v>1.6</v>
      </c>
      <c r="S103" s="25">
        <v>1.65</v>
      </c>
      <c r="T103" s="25">
        <v>1.69</v>
      </c>
      <c r="U103" s="25">
        <v>1.74</v>
      </c>
      <c r="V103" s="26">
        <v>1.7899999618530273</v>
      </c>
    </row>
    <row r="104" spans="2:22">
      <c r="B104" s="587"/>
      <c r="C104" s="27">
        <v>110</v>
      </c>
      <c r="D104" s="28">
        <v>1.6100000143051147</v>
      </c>
      <c r="E104" s="28">
        <v>1.64</v>
      </c>
      <c r="F104" s="28">
        <v>1.68</v>
      </c>
      <c r="G104" s="28">
        <v>1.72</v>
      </c>
      <c r="H104" s="28">
        <v>1.75</v>
      </c>
      <c r="I104" s="28">
        <v>1.79</v>
      </c>
      <c r="J104" s="28">
        <v>1.83</v>
      </c>
      <c r="K104" s="29">
        <v>1.8700000047683716</v>
      </c>
      <c r="M104" s="587"/>
      <c r="N104" s="27">
        <v>110</v>
      </c>
      <c r="O104" s="28">
        <v>1.3300000429153442</v>
      </c>
      <c r="P104" s="28">
        <v>1.37</v>
      </c>
      <c r="Q104" s="28">
        <v>1.42</v>
      </c>
      <c r="R104" s="28">
        <v>1.47</v>
      </c>
      <c r="S104" s="28">
        <v>1.52</v>
      </c>
      <c r="T104" s="28">
        <v>1.57</v>
      </c>
      <c r="U104" s="28">
        <v>1.62</v>
      </c>
      <c r="V104" s="29">
        <v>1.6699999570846558</v>
      </c>
    </row>
    <row r="105" spans="2:22">
      <c r="B105" s="587"/>
      <c r="C105" s="30">
        <v>120</v>
      </c>
      <c r="D105" s="31">
        <v>1.4700000286102295</v>
      </c>
      <c r="E105" s="31">
        <v>1.51</v>
      </c>
      <c r="F105" s="31">
        <v>1.55</v>
      </c>
      <c r="G105" s="31">
        <v>1.59</v>
      </c>
      <c r="H105" s="31">
        <v>1.64</v>
      </c>
      <c r="I105" s="31">
        <v>1.68</v>
      </c>
      <c r="J105" s="31">
        <v>1.72</v>
      </c>
      <c r="K105" s="32">
        <v>1.7699999809265137</v>
      </c>
      <c r="M105" s="587"/>
      <c r="N105" s="30">
        <v>120</v>
      </c>
      <c r="O105" s="31">
        <v>1.2100000381469727</v>
      </c>
      <c r="P105" s="31">
        <v>1.25</v>
      </c>
      <c r="Q105" s="31">
        <v>1.29</v>
      </c>
      <c r="R105" s="31">
        <v>1.34</v>
      </c>
      <c r="S105" s="31">
        <v>1.38</v>
      </c>
      <c r="T105" s="31">
        <v>1.43</v>
      </c>
      <c r="U105" s="31">
        <v>1.47</v>
      </c>
      <c r="V105" s="32">
        <v>1.5199999809265137</v>
      </c>
    </row>
    <row r="106" spans="2:22">
      <c r="B106" s="587"/>
      <c r="C106" s="27">
        <v>130</v>
      </c>
      <c r="D106" s="28">
        <v>1.3500000238418579</v>
      </c>
      <c r="E106" s="28">
        <v>1.39</v>
      </c>
      <c r="F106" s="28">
        <v>1.44</v>
      </c>
      <c r="G106" s="28">
        <v>1.48</v>
      </c>
      <c r="H106" s="28">
        <v>1.53</v>
      </c>
      <c r="I106" s="28">
        <v>1.57</v>
      </c>
      <c r="J106" s="28">
        <v>1.62</v>
      </c>
      <c r="K106" s="29">
        <v>1.6699999570846558</v>
      </c>
      <c r="M106" s="587"/>
      <c r="N106" s="27">
        <v>130</v>
      </c>
      <c r="O106" s="28">
        <v>1.1100000143051147</v>
      </c>
      <c r="P106" s="28">
        <v>1.1499999999999999</v>
      </c>
      <c r="Q106" s="28">
        <v>1.19</v>
      </c>
      <c r="R106" s="28">
        <v>1.23</v>
      </c>
      <c r="S106" s="28">
        <v>1.27</v>
      </c>
      <c r="T106" s="28">
        <v>1.31</v>
      </c>
      <c r="U106" s="28">
        <v>1.35</v>
      </c>
      <c r="V106" s="29">
        <v>1.3999999761581421</v>
      </c>
    </row>
    <row r="107" spans="2:22">
      <c r="B107" s="587"/>
      <c r="C107" s="30">
        <v>140</v>
      </c>
      <c r="D107" s="31">
        <v>1.25</v>
      </c>
      <c r="E107" s="31">
        <v>1.29</v>
      </c>
      <c r="F107" s="31">
        <v>1.34</v>
      </c>
      <c r="G107" s="31">
        <v>1.38</v>
      </c>
      <c r="H107" s="31">
        <v>1.43</v>
      </c>
      <c r="I107" s="31">
        <v>1.47</v>
      </c>
      <c r="J107" s="31">
        <v>1.52</v>
      </c>
      <c r="K107" s="32">
        <v>1.5700000524520874</v>
      </c>
      <c r="M107" s="587"/>
      <c r="N107" s="30">
        <v>140</v>
      </c>
      <c r="O107" s="31">
        <v>1.0299999713897705</v>
      </c>
      <c r="P107" s="31">
        <v>1.06</v>
      </c>
      <c r="Q107" s="31">
        <v>1.1000000000000001</v>
      </c>
      <c r="R107" s="31">
        <v>1.1399999999999999</v>
      </c>
      <c r="S107" s="31">
        <v>1.17</v>
      </c>
      <c r="T107" s="31">
        <v>1.21</v>
      </c>
      <c r="U107" s="31">
        <v>1.25</v>
      </c>
      <c r="V107" s="32">
        <v>1.2899999618530273</v>
      </c>
    </row>
    <row r="108" spans="2:22">
      <c r="B108" s="587"/>
      <c r="C108" s="27">
        <v>150</v>
      </c>
      <c r="D108" s="28">
        <v>1.1599999666213989</v>
      </c>
      <c r="E108" s="28">
        <v>1.2</v>
      </c>
      <c r="F108" s="28">
        <v>1.24</v>
      </c>
      <c r="G108" s="28">
        <v>1.28</v>
      </c>
      <c r="H108" s="28">
        <v>1.33</v>
      </c>
      <c r="I108" s="28">
        <v>1.37</v>
      </c>
      <c r="J108" s="28">
        <v>1.41</v>
      </c>
      <c r="K108" s="29">
        <v>1.4600000381469727</v>
      </c>
      <c r="M108" s="587"/>
      <c r="N108" s="27">
        <v>150</v>
      </c>
      <c r="O108" s="28">
        <v>0.94999998807907104</v>
      </c>
      <c r="P108" s="28">
        <v>0.98</v>
      </c>
      <c r="Q108" s="28">
        <v>1.02</v>
      </c>
      <c r="R108" s="28">
        <v>1.05</v>
      </c>
      <c r="S108" s="28">
        <v>1.0900000000000001</v>
      </c>
      <c r="T108" s="28">
        <v>1.1200000000000001</v>
      </c>
      <c r="U108" s="28">
        <v>1.1599999999999999</v>
      </c>
      <c r="V108" s="29">
        <v>1.2000000476837158</v>
      </c>
    </row>
    <row r="109" spans="2:22">
      <c r="B109" s="587"/>
      <c r="C109" s="30">
        <v>160</v>
      </c>
      <c r="D109" s="31">
        <v>1.0800000429153442</v>
      </c>
      <c r="E109" s="31">
        <v>1.1200000000000001</v>
      </c>
      <c r="F109" s="31">
        <v>1.1599999999999999</v>
      </c>
      <c r="G109" s="31">
        <v>1.2</v>
      </c>
      <c r="H109" s="31">
        <v>1.24</v>
      </c>
      <c r="I109" s="31">
        <v>1.28</v>
      </c>
      <c r="J109" s="31">
        <v>1.32</v>
      </c>
      <c r="K109" s="32">
        <v>1.3600000143051147</v>
      </c>
      <c r="M109" s="587"/>
      <c r="N109" s="30">
        <v>160</v>
      </c>
      <c r="O109" s="31">
        <v>0.88999998569488525</v>
      </c>
      <c r="P109" s="31">
        <v>0.92</v>
      </c>
      <c r="Q109" s="31">
        <v>0.95</v>
      </c>
      <c r="R109" s="31">
        <v>0.98</v>
      </c>
      <c r="S109" s="31">
        <v>1.02</v>
      </c>
      <c r="T109" s="31">
        <v>1.05</v>
      </c>
      <c r="U109" s="31">
        <v>1.08</v>
      </c>
      <c r="V109" s="32">
        <v>1.1200000047683716</v>
      </c>
    </row>
    <row r="110" spans="2:22">
      <c r="B110" s="587"/>
      <c r="C110" s="27">
        <v>170</v>
      </c>
      <c r="D110" s="28">
        <v>1.0099999904632568</v>
      </c>
      <c r="E110" s="28">
        <v>1.04</v>
      </c>
      <c r="F110" s="28">
        <v>1.08</v>
      </c>
      <c r="G110" s="28">
        <v>1.1200000000000001</v>
      </c>
      <c r="H110" s="28">
        <v>1.1499999999999999</v>
      </c>
      <c r="I110" s="28">
        <v>1.19</v>
      </c>
      <c r="J110" s="28">
        <v>1.23</v>
      </c>
      <c r="K110" s="29">
        <v>1.2699999809265137</v>
      </c>
      <c r="M110" s="587"/>
      <c r="N110" s="27">
        <v>170</v>
      </c>
      <c r="O110" s="28">
        <v>0.81999999284744263</v>
      </c>
      <c r="P110" s="28">
        <v>0.85</v>
      </c>
      <c r="Q110" s="28">
        <v>0.88</v>
      </c>
      <c r="R110" s="28">
        <v>0.91</v>
      </c>
      <c r="S110" s="28">
        <v>0.95</v>
      </c>
      <c r="T110" s="28">
        <v>0.98</v>
      </c>
      <c r="U110" s="28">
        <v>1.01</v>
      </c>
      <c r="V110" s="29">
        <v>1.0499999523162842</v>
      </c>
    </row>
    <row r="111" spans="2:22">
      <c r="B111" s="587"/>
      <c r="C111" s="30">
        <v>180</v>
      </c>
      <c r="D111" s="31">
        <v>0.94999998807907104</v>
      </c>
      <c r="E111" s="31">
        <v>0.98</v>
      </c>
      <c r="F111" s="31">
        <v>1.01</v>
      </c>
      <c r="G111" s="31">
        <v>1.05</v>
      </c>
      <c r="H111" s="31">
        <v>1.08</v>
      </c>
      <c r="I111" s="31">
        <v>1.1200000000000001</v>
      </c>
      <c r="J111" s="31">
        <v>1.1499999999999999</v>
      </c>
      <c r="K111" s="32">
        <v>1.190000057220459</v>
      </c>
      <c r="M111" s="587"/>
      <c r="N111" s="30">
        <v>180</v>
      </c>
      <c r="O111" s="31" t="s">
        <v>114</v>
      </c>
      <c r="P111" s="31" t="s">
        <v>114</v>
      </c>
      <c r="Q111" s="31">
        <v>0.81999999284744263</v>
      </c>
      <c r="R111" s="31">
        <v>0.86000001430511475</v>
      </c>
      <c r="S111" s="31">
        <v>0.91</v>
      </c>
      <c r="T111" s="31">
        <v>0.94</v>
      </c>
      <c r="U111" s="31">
        <v>0.96</v>
      </c>
      <c r="V111" s="32">
        <v>0.99000000953674316</v>
      </c>
    </row>
    <row r="112" spans="2:22">
      <c r="B112" s="587"/>
      <c r="C112" s="27">
        <v>190</v>
      </c>
      <c r="D112" s="28">
        <v>0.88999998569488525</v>
      </c>
      <c r="E112" s="28">
        <v>0.92</v>
      </c>
      <c r="F112" s="28">
        <v>0.95</v>
      </c>
      <c r="G112" s="28">
        <v>0.99</v>
      </c>
      <c r="H112" s="28">
        <v>1.02</v>
      </c>
      <c r="I112" s="28">
        <v>1.06</v>
      </c>
      <c r="J112" s="28">
        <v>1.0900000000000001</v>
      </c>
      <c r="K112" s="29">
        <v>1.1299999952316284</v>
      </c>
      <c r="M112" s="587"/>
      <c r="N112" s="27">
        <v>190</v>
      </c>
      <c r="O112" s="28" t="s">
        <v>114</v>
      </c>
      <c r="P112" s="28" t="s">
        <v>114</v>
      </c>
      <c r="Q112" s="28" t="s">
        <v>114</v>
      </c>
      <c r="R112" s="28" t="s">
        <v>114</v>
      </c>
      <c r="S112" s="28">
        <v>0.81999999284744263</v>
      </c>
      <c r="T112" s="28">
        <v>0.89</v>
      </c>
      <c r="U112" s="28">
        <v>0.91</v>
      </c>
      <c r="V112" s="29">
        <v>0.93000000715255737</v>
      </c>
    </row>
    <row r="113" spans="2:22" ht="15" thickBot="1">
      <c r="B113" s="588"/>
      <c r="C113" s="33">
        <v>200</v>
      </c>
      <c r="D113" s="34">
        <v>0.80000001192092896</v>
      </c>
      <c r="E113" s="34">
        <v>0.83</v>
      </c>
      <c r="F113" s="34">
        <v>0.87</v>
      </c>
      <c r="G113" s="35">
        <v>0.91</v>
      </c>
      <c r="H113" s="34">
        <v>0.95</v>
      </c>
      <c r="I113" s="34">
        <v>0.99</v>
      </c>
      <c r="J113" s="34">
        <v>1.03</v>
      </c>
      <c r="K113" s="36">
        <v>1.0700000524520874</v>
      </c>
      <c r="M113" s="588"/>
      <c r="N113" s="33">
        <v>200</v>
      </c>
      <c r="O113" s="34" t="s">
        <v>114</v>
      </c>
      <c r="P113" s="34" t="s">
        <v>114</v>
      </c>
      <c r="Q113" s="34" t="s">
        <v>114</v>
      </c>
      <c r="R113" s="35" t="s">
        <v>114</v>
      </c>
      <c r="S113" s="34" t="s">
        <v>114</v>
      </c>
      <c r="T113" s="34">
        <v>0.80000001192092896</v>
      </c>
      <c r="U113" s="34">
        <v>0.86</v>
      </c>
      <c r="V113" s="36">
        <v>0.87999999523162842</v>
      </c>
    </row>
    <row r="114" spans="2:22" ht="15" thickBot="1"/>
    <row r="115" spans="2:22" ht="16" thickBot="1">
      <c r="B115" s="585" t="s">
        <v>474</v>
      </c>
      <c r="C115" s="578"/>
      <c r="D115" s="577" t="s">
        <v>462</v>
      </c>
      <c r="E115" s="577"/>
      <c r="F115" s="577"/>
      <c r="G115" s="577"/>
      <c r="H115" s="577"/>
      <c r="I115" s="577"/>
      <c r="J115" s="577"/>
      <c r="K115" s="578"/>
      <c r="M115" s="585" t="s">
        <v>474</v>
      </c>
      <c r="N115" s="578"/>
      <c r="O115" s="577" t="s">
        <v>462</v>
      </c>
      <c r="P115" s="577"/>
      <c r="Q115" s="577"/>
      <c r="R115" s="577"/>
      <c r="S115" s="577"/>
      <c r="T115" s="577"/>
      <c r="U115" s="577"/>
      <c r="V115" s="578"/>
    </row>
    <row r="116" spans="2:22">
      <c r="B116" s="568" t="s">
        <v>471</v>
      </c>
      <c r="C116" s="569" t="s">
        <v>463</v>
      </c>
      <c r="D116" s="579" t="s">
        <v>464</v>
      </c>
      <c r="E116" s="580"/>
      <c r="F116" s="580"/>
      <c r="G116" s="580"/>
      <c r="H116" s="580"/>
      <c r="I116" s="580"/>
      <c r="J116" s="580"/>
      <c r="K116" s="581"/>
      <c r="M116" s="568" t="s">
        <v>471</v>
      </c>
      <c r="N116" s="569" t="s">
        <v>463</v>
      </c>
      <c r="O116" s="579" t="s">
        <v>464</v>
      </c>
      <c r="P116" s="580"/>
      <c r="Q116" s="580"/>
      <c r="R116" s="580"/>
      <c r="S116" s="580"/>
      <c r="T116" s="580"/>
      <c r="U116" s="580"/>
      <c r="V116" s="581"/>
    </row>
    <row r="117" spans="2:22" ht="15" thickBot="1">
      <c r="B117" s="569"/>
      <c r="C117" s="569"/>
      <c r="D117" s="582"/>
      <c r="E117" s="583"/>
      <c r="F117" s="583"/>
      <c r="G117" s="583"/>
      <c r="H117" s="583"/>
      <c r="I117" s="583"/>
      <c r="J117" s="583"/>
      <c r="K117" s="584"/>
      <c r="M117" s="569"/>
      <c r="N117" s="569"/>
      <c r="O117" s="582"/>
      <c r="P117" s="583"/>
      <c r="Q117" s="583"/>
      <c r="R117" s="583"/>
      <c r="S117" s="583"/>
      <c r="T117" s="583"/>
      <c r="U117" s="583"/>
      <c r="V117" s="584"/>
    </row>
    <row r="118" spans="2:22" ht="15" thickBot="1">
      <c r="B118" s="570"/>
      <c r="C118" s="570"/>
      <c r="D118" s="22">
        <v>0</v>
      </c>
      <c r="E118" s="22">
        <v>500</v>
      </c>
      <c r="F118" s="22">
        <v>1000</v>
      </c>
      <c r="G118" s="22">
        <v>1500</v>
      </c>
      <c r="H118" s="22">
        <v>2000</v>
      </c>
      <c r="I118" s="22">
        <v>2500</v>
      </c>
      <c r="J118" s="22">
        <v>3000</v>
      </c>
      <c r="K118" s="23">
        <v>3500</v>
      </c>
      <c r="M118" s="570"/>
      <c r="N118" s="570"/>
      <c r="O118" s="22">
        <v>0</v>
      </c>
      <c r="P118" s="22">
        <v>500</v>
      </c>
      <c r="Q118" s="22">
        <v>1000</v>
      </c>
      <c r="R118" s="22">
        <v>1500</v>
      </c>
      <c r="S118" s="22">
        <v>2000</v>
      </c>
      <c r="T118" s="22">
        <v>2500</v>
      </c>
      <c r="U118" s="22">
        <v>3000</v>
      </c>
      <c r="V118" s="23">
        <v>3500</v>
      </c>
    </row>
    <row r="119" spans="2:22">
      <c r="B119" s="586" t="s">
        <v>472</v>
      </c>
      <c r="C119" s="24">
        <v>100</v>
      </c>
      <c r="D119" s="25">
        <v>1.8300000429153442</v>
      </c>
      <c r="E119" s="25">
        <v>1.86</v>
      </c>
      <c r="F119" s="25">
        <v>1.89</v>
      </c>
      <c r="G119" s="25">
        <v>1.92</v>
      </c>
      <c r="H119" s="25">
        <v>1.95</v>
      </c>
      <c r="I119" s="25">
        <v>1.98</v>
      </c>
      <c r="J119" s="25">
        <v>2.0099999999999998</v>
      </c>
      <c r="K119" s="26">
        <v>2.0499999523162842</v>
      </c>
      <c r="M119" s="586" t="s">
        <v>473</v>
      </c>
      <c r="N119" s="24">
        <v>100</v>
      </c>
      <c r="O119" s="25">
        <v>1.6000000238418579</v>
      </c>
      <c r="P119" s="25">
        <v>1.64</v>
      </c>
      <c r="Q119" s="25">
        <v>1.68</v>
      </c>
      <c r="R119" s="25">
        <v>1.72</v>
      </c>
      <c r="S119" s="25">
        <v>1.77</v>
      </c>
      <c r="T119" s="25">
        <v>1.81</v>
      </c>
      <c r="U119" s="25">
        <v>1.85</v>
      </c>
      <c r="V119" s="26">
        <v>1.8999999761581421</v>
      </c>
    </row>
    <row r="120" spans="2:22">
      <c r="B120" s="587"/>
      <c r="C120" s="27">
        <v>110</v>
      </c>
      <c r="D120" s="28">
        <v>1.7100000381469727</v>
      </c>
      <c r="E120" s="28">
        <v>1.74</v>
      </c>
      <c r="F120" s="28">
        <v>1.77</v>
      </c>
      <c r="G120" s="28">
        <v>1.81</v>
      </c>
      <c r="H120" s="28">
        <v>1.84</v>
      </c>
      <c r="I120" s="28">
        <v>1.88</v>
      </c>
      <c r="J120" s="28">
        <v>1.91</v>
      </c>
      <c r="K120" s="29">
        <v>1.9500000476837158</v>
      </c>
      <c r="M120" s="587"/>
      <c r="N120" s="27">
        <v>110</v>
      </c>
      <c r="O120" s="28">
        <v>1.440000057220459</v>
      </c>
      <c r="P120" s="28">
        <v>1.48</v>
      </c>
      <c r="Q120" s="28">
        <v>1.53</v>
      </c>
      <c r="R120" s="28">
        <v>1.58</v>
      </c>
      <c r="S120" s="28">
        <v>1.63</v>
      </c>
      <c r="T120" s="28">
        <v>1.68</v>
      </c>
      <c r="U120" s="28">
        <v>1.73</v>
      </c>
      <c r="V120" s="29">
        <v>1.7799999713897705</v>
      </c>
    </row>
    <row r="121" spans="2:22">
      <c r="B121" s="587"/>
      <c r="C121" s="30">
        <v>120</v>
      </c>
      <c r="D121" s="31">
        <v>1.5900000333786011</v>
      </c>
      <c r="E121" s="31">
        <v>1.62</v>
      </c>
      <c r="F121" s="31">
        <v>1.66</v>
      </c>
      <c r="G121" s="31">
        <v>1.7</v>
      </c>
      <c r="H121" s="31">
        <v>1.74</v>
      </c>
      <c r="I121" s="31">
        <v>1.78</v>
      </c>
      <c r="J121" s="31">
        <v>1.82</v>
      </c>
      <c r="K121" s="32">
        <v>1.8600000143051147</v>
      </c>
      <c r="M121" s="587"/>
      <c r="N121" s="30">
        <v>120</v>
      </c>
      <c r="O121" s="31">
        <v>1.309999942779541</v>
      </c>
      <c r="P121" s="31">
        <v>1.35</v>
      </c>
      <c r="Q121" s="31">
        <v>1.4</v>
      </c>
      <c r="R121" s="31">
        <v>1.45</v>
      </c>
      <c r="S121" s="31">
        <v>1.5</v>
      </c>
      <c r="T121" s="31">
        <v>1.55</v>
      </c>
      <c r="U121" s="31">
        <v>1.6</v>
      </c>
      <c r="V121" s="32">
        <v>1.6499999761581421</v>
      </c>
    </row>
    <row r="122" spans="2:22">
      <c r="B122" s="587"/>
      <c r="C122" s="27">
        <v>130</v>
      </c>
      <c r="D122" s="28">
        <v>1.4700000286102295</v>
      </c>
      <c r="E122" s="28">
        <v>1.51</v>
      </c>
      <c r="F122" s="28">
        <v>1.55</v>
      </c>
      <c r="G122" s="28">
        <v>1.59</v>
      </c>
      <c r="H122" s="28">
        <v>1.63</v>
      </c>
      <c r="I122" s="28">
        <v>1.67</v>
      </c>
      <c r="J122" s="28">
        <v>1.71</v>
      </c>
      <c r="K122" s="29">
        <v>1.7599999904632568</v>
      </c>
      <c r="M122" s="587"/>
      <c r="N122" s="27">
        <v>130</v>
      </c>
      <c r="O122" s="28">
        <v>1.2000000476837158</v>
      </c>
      <c r="P122" s="28">
        <v>1.24</v>
      </c>
      <c r="Q122" s="28">
        <v>1.28</v>
      </c>
      <c r="R122" s="28">
        <v>1.33</v>
      </c>
      <c r="S122" s="28">
        <v>1.37</v>
      </c>
      <c r="T122" s="28">
        <v>1.42</v>
      </c>
      <c r="U122" s="28">
        <v>1.46</v>
      </c>
      <c r="V122" s="29">
        <v>1.5099999904632568</v>
      </c>
    </row>
    <row r="123" spans="2:22">
      <c r="B123" s="587"/>
      <c r="C123" s="30">
        <v>140</v>
      </c>
      <c r="D123" s="31">
        <v>1.3500000238418579</v>
      </c>
      <c r="E123" s="31">
        <v>1.39</v>
      </c>
      <c r="F123" s="31">
        <v>1.43</v>
      </c>
      <c r="G123" s="31">
        <v>1.48</v>
      </c>
      <c r="H123" s="31">
        <v>1.52</v>
      </c>
      <c r="I123" s="31">
        <v>1.57</v>
      </c>
      <c r="J123" s="31">
        <v>1.61</v>
      </c>
      <c r="K123" s="32">
        <v>1.6599999666213989</v>
      </c>
      <c r="M123" s="587"/>
      <c r="N123" s="30">
        <v>140</v>
      </c>
      <c r="O123" s="31">
        <v>1.1200000047683716</v>
      </c>
      <c r="P123" s="31">
        <v>1.1599999999999999</v>
      </c>
      <c r="Q123" s="31">
        <v>1.19</v>
      </c>
      <c r="R123" s="31">
        <v>1.23</v>
      </c>
      <c r="S123" s="31">
        <v>1.27</v>
      </c>
      <c r="T123" s="31">
        <v>1.31</v>
      </c>
      <c r="U123" s="31">
        <v>1.35</v>
      </c>
      <c r="V123" s="32">
        <v>1.3999999761581421</v>
      </c>
    </row>
    <row r="124" spans="2:22">
      <c r="B124" s="587"/>
      <c r="C124" s="27">
        <v>150</v>
      </c>
      <c r="D124" s="28">
        <v>1.2599999904632568</v>
      </c>
      <c r="E124" s="28">
        <v>1.3</v>
      </c>
      <c r="F124" s="28">
        <v>1.34</v>
      </c>
      <c r="G124" s="28">
        <v>1.39</v>
      </c>
      <c r="H124" s="28">
        <v>1.43</v>
      </c>
      <c r="I124" s="28">
        <v>1.48</v>
      </c>
      <c r="J124" s="28">
        <v>1.52</v>
      </c>
      <c r="K124" s="29">
        <v>1.5700000524520874</v>
      </c>
      <c r="M124" s="587"/>
      <c r="N124" s="27">
        <v>150</v>
      </c>
      <c r="O124" s="28">
        <v>1.0299999713897705</v>
      </c>
      <c r="P124" s="28">
        <v>1.06</v>
      </c>
      <c r="Q124" s="28">
        <v>1.1000000000000001</v>
      </c>
      <c r="R124" s="28">
        <v>1.1399999999999999</v>
      </c>
      <c r="S124" s="28">
        <v>1.18</v>
      </c>
      <c r="T124" s="28">
        <v>1.22</v>
      </c>
      <c r="U124" s="28">
        <v>1.26</v>
      </c>
      <c r="V124" s="29">
        <v>1.2999999523162842</v>
      </c>
    </row>
    <row r="125" spans="2:22">
      <c r="B125" s="587"/>
      <c r="C125" s="30">
        <v>160</v>
      </c>
      <c r="D125" s="31">
        <v>1.1799999475479126</v>
      </c>
      <c r="E125" s="31">
        <v>1.22</v>
      </c>
      <c r="F125" s="31">
        <v>1.26</v>
      </c>
      <c r="G125" s="31">
        <v>1.3</v>
      </c>
      <c r="H125" s="31">
        <v>1.34</v>
      </c>
      <c r="I125" s="31">
        <v>1.38</v>
      </c>
      <c r="J125" s="31">
        <v>1.42</v>
      </c>
      <c r="K125" s="32">
        <v>1.4700000286102295</v>
      </c>
      <c r="M125" s="587"/>
      <c r="N125" s="30">
        <v>160</v>
      </c>
      <c r="O125" s="31">
        <v>0.97000002861022949</v>
      </c>
      <c r="P125" s="31">
        <v>1</v>
      </c>
      <c r="Q125" s="31">
        <v>1.03</v>
      </c>
      <c r="R125" s="31">
        <v>1.07</v>
      </c>
      <c r="S125" s="31">
        <v>1.1000000000000001</v>
      </c>
      <c r="T125" s="31">
        <v>1.1399999999999999</v>
      </c>
      <c r="U125" s="31">
        <v>1.17</v>
      </c>
      <c r="V125" s="32">
        <v>1.2100000381469727</v>
      </c>
    </row>
    <row r="126" spans="2:22">
      <c r="B126" s="587"/>
      <c r="C126" s="27">
        <v>170</v>
      </c>
      <c r="D126" s="28">
        <v>1.1000000238418579</v>
      </c>
      <c r="E126" s="28">
        <v>1.1399999999999999</v>
      </c>
      <c r="F126" s="28">
        <v>1.18</v>
      </c>
      <c r="G126" s="28">
        <v>1.22</v>
      </c>
      <c r="H126" s="28">
        <v>1.26</v>
      </c>
      <c r="I126" s="28">
        <v>1.3</v>
      </c>
      <c r="J126" s="28">
        <v>1.33</v>
      </c>
      <c r="K126" s="29">
        <v>1.3799999952316284</v>
      </c>
      <c r="M126" s="587"/>
      <c r="N126" s="27">
        <v>170</v>
      </c>
      <c r="O126" s="28">
        <v>0.9100000262260437</v>
      </c>
      <c r="P126" s="28">
        <v>0.94</v>
      </c>
      <c r="Q126" s="28">
        <v>0.97</v>
      </c>
      <c r="R126" s="28">
        <v>1</v>
      </c>
      <c r="S126" s="28">
        <v>1.04</v>
      </c>
      <c r="T126" s="28">
        <v>1.07</v>
      </c>
      <c r="U126" s="28">
        <v>1.1000000000000001</v>
      </c>
      <c r="V126" s="29">
        <v>1.1399999856948853</v>
      </c>
    </row>
    <row r="127" spans="2:22">
      <c r="B127" s="587"/>
      <c r="C127" s="30">
        <v>180</v>
      </c>
      <c r="D127" s="31">
        <v>1.0299999713897705</v>
      </c>
      <c r="E127" s="31">
        <v>1.06</v>
      </c>
      <c r="F127" s="31">
        <v>1.1000000000000001</v>
      </c>
      <c r="G127" s="31">
        <v>1.1399999999999999</v>
      </c>
      <c r="H127" s="31">
        <v>1.18</v>
      </c>
      <c r="I127" s="31">
        <v>1.22</v>
      </c>
      <c r="J127" s="31">
        <v>1.26</v>
      </c>
      <c r="K127" s="32">
        <v>1.2999999523162842</v>
      </c>
      <c r="M127" s="587"/>
      <c r="N127" s="30">
        <v>180</v>
      </c>
      <c r="O127" s="31">
        <v>0.85000002384185791</v>
      </c>
      <c r="P127" s="31">
        <v>0.88</v>
      </c>
      <c r="Q127" s="31">
        <v>0.91</v>
      </c>
      <c r="R127" s="31">
        <v>0.94</v>
      </c>
      <c r="S127" s="31">
        <v>0.97</v>
      </c>
      <c r="T127" s="31">
        <v>1</v>
      </c>
      <c r="U127" s="31">
        <v>1.03</v>
      </c>
      <c r="V127" s="32">
        <v>1.0700000524520874</v>
      </c>
    </row>
    <row r="128" spans="2:22">
      <c r="B128" s="587"/>
      <c r="C128" s="27">
        <v>190</v>
      </c>
      <c r="D128" s="28">
        <v>0.98000001907348633</v>
      </c>
      <c r="E128" s="28">
        <v>1.01</v>
      </c>
      <c r="F128" s="28">
        <v>1.04</v>
      </c>
      <c r="G128" s="28">
        <v>1.08</v>
      </c>
      <c r="H128" s="28">
        <v>1.1100000000000001</v>
      </c>
      <c r="I128" s="28">
        <v>1.1499999999999999</v>
      </c>
      <c r="J128" s="28">
        <v>1.18</v>
      </c>
      <c r="K128" s="29">
        <v>1.2200000286102295</v>
      </c>
      <c r="M128" s="587"/>
      <c r="N128" s="27">
        <v>190</v>
      </c>
      <c r="O128" s="28" t="s">
        <v>114</v>
      </c>
      <c r="P128" s="28">
        <v>0.80000001192092896</v>
      </c>
      <c r="Q128" s="28">
        <v>0.85000002384185791</v>
      </c>
      <c r="R128" s="28">
        <v>0.89</v>
      </c>
      <c r="S128" s="28">
        <v>0.91</v>
      </c>
      <c r="T128" s="28">
        <v>0.94</v>
      </c>
      <c r="U128" s="28">
        <v>0.97</v>
      </c>
      <c r="V128" s="29">
        <v>1.0099999904632568</v>
      </c>
    </row>
    <row r="129" spans="2:22" ht="15" thickBot="1">
      <c r="B129" s="588"/>
      <c r="C129" s="33">
        <v>200</v>
      </c>
      <c r="D129" s="34">
        <v>0.93000000715255737</v>
      </c>
      <c r="E129" s="34">
        <v>0.96</v>
      </c>
      <c r="F129" s="34">
        <v>0.99</v>
      </c>
      <c r="G129" s="35">
        <v>1.02</v>
      </c>
      <c r="H129" s="34">
        <v>1.06</v>
      </c>
      <c r="I129" s="34">
        <v>1.0900000000000001</v>
      </c>
      <c r="J129" s="34">
        <v>1.1200000000000001</v>
      </c>
      <c r="K129" s="36">
        <v>1.1599999666213989</v>
      </c>
      <c r="M129" s="588"/>
      <c r="N129" s="33">
        <v>200</v>
      </c>
      <c r="O129" s="34" t="s">
        <v>114</v>
      </c>
      <c r="P129" s="34" t="s">
        <v>114</v>
      </c>
      <c r="Q129" s="34" t="s">
        <v>114</v>
      </c>
      <c r="R129" s="35">
        <v>0.81999999284744263</v>
      </c>
      <c r="S129" s="34">
        <v>0.89</v>
      </c>
      <c r="T129" s="34">
        <v>0.91</v>
      </c>
      <c r="U129" s="34">
        <v>0.93</v>
      </c>
      <c r="V129" s="36">
        <v>0.95999997854232788</v>
      </c>
    </row>
  </sheetData>
  <mergeCells count="96">
    <mergeCell ref="M119:M129"/>
    <mergeCell ref="B119:B129"/>
    <mergeCell ref="M83:N83"/>
    <mergeCell ref="O83:V83"/>
    <mergeCell ref="M84:M86"/>
    <mergeCell ref="N84:N86"/>
    <mergeCell ref="O84:V85"/>
    <mergeCell ref="M87:M97"/>
    <mergeCell ref="M99:N99"/>
    <mergeCell ref="O99:V99"/>
    <mergeCell ref="M100:M102"/>
    <mergeCell ref="N100:N102"/>
    <mergeCell ref="O100:V101"/>
    <mergeCell ref="M103:M113"/>
    <mergeCell ref="M115:N115"/>
    <mergeCell ref="O115:V115"/>
    <mergeCell ref="N116:N118"/>
    <mergeCell ref="O116:V117"/>
    <mergeCell ref="B87:B97"/>
    <mergeCell ref="B99:C99"/>
    <mergeCell ref="D99:K99"/>
    <mergeCell ref="B100:B102"/>
    <mergeCell ref="C100:C102"/>
    <mergeCell ref="D100:K101"/>
    <mergeCell ref="M116:M118"/>
    <mergeCell ref="B103:B113"/>
    <mergeCell ref="B115:C115"/>
    <mergeCell ref="D115:K115"/>
    <mergeCell ref="B116:B118"/>
    <mergeCell ref="C116:C118"/>
    <mergeCell ref="D116:K117"/>
    <mergeCell ref="B83:C83"/>
    <mergeCell ref="D83:K83"/>
    <mergeCell ref="B84:B86"/>
    <mergeCell ref="C84:C86"/>
    <mergeCell ref="D84:K85"/>
    <mergeCell ref="B71:B81"/>
    <mergeCell ref="M67:N67"/>
    <mergeCell ref="O67:V67"/>
    <mergeCell ref="M68:M70"/>
    <mergeCell ref="N68:N70"/>
    <mergeCell ref="O68:V69"/>
    <mergeCell ref="M71:M81"/>
    <mergeCell ref="B67:C67"/>
    <mergeCell ref="D67:K67"/>
    <mergeCell ref="B68:B70"/>
    <mergeCell ref="C68:C70"/>
    <mergeCell ref="D68:K69"/>
    <mergeCell ref="B55:B65"/>
    <mergeCell ref="M35:N35"/>
    <mergeCell ref="O35:V35"/>
    <mergeCell ref="M36:M38"/>
    <mergeCell ref="N36:N38"/>
    <mergeCell ref="O36:V37"/>
    <mergeCell ref="M39:M49"/>
    <mergeCell ref="M51:N51"/>
    <mergeCell ref="O51:V51"/>
    <mergeCell ref="M52:M54"/>
    <mergeCell ref="N52:N54"/>
    <mergeCell ref="O52:V53"/>
    <mergeCell ref="M55:M65"/>
    <mergeCell ref="B39:B49"/>
    <mergeCell ref="B51:C51"/>
    <mergeCell ref="D51:K51"/>
    <mergeCell ref="B52:B54"/>
    <mergeCell ref="C52:C54"/>
    <mergeCell ref="D52:K53"/>
    <mergeCell ref="M23:M33"/>
    <mergeCell ref="B35:C35"/>
    <mergeCell ref="D35:K35"/>
    <mergeCell ref="B36:B38"/>
    <mergeCell ref="C36:C38"/>
    <mergeCell ref="D36:K37"/>
    <mergeCell ref="B23:B33"/>
    <mergeCell ref="M7:M17"/>
    <mergeCell ref="M19:N19"/>
    <mergeCell ref="O19:V19"/>
    <mergeCell ref="M20:M22"/>
    <mergeCell ref="N20:N22"/>
    <mergeCell ref="O20:V21"/>
    <mergeCell ref="M3:N3"/>
    <mergeCell ref="O3:V3"/>
    <mergeCell ref="M4:M6"/>
    <mergeCell ref="N4:N6"/>
    <mergeCell ref="O4:V5"/>
    <mergeCell ref="B3:C3"/>
    <mergeCell ref="D3:K3"/>
    <mergeCell ref="B4:B6"/>
    <mergeCell ref="C4:C6"/>
    <mergeCell ref="D4:K5"/>
    <mergeCell ref="B7:B17"/>
    <mergeCell ref="B19:C19"/>
    <mergeCell ref="D19:K19"/>
    <mergeCell ref="B20:B22"/>
    <mergeCell ref="C20:C22"/>
    <mergeCell ref="D20:K21"/>
  </mergeCells>
  <dataValidations count="3">
    <dataValidation type="list" allowBlank="1" showInputMessage="1" showErrorMessage="1" sqref="M3:N3 B51:C51 B3:C3 B19:C19 B35:C35 M19:N19 M35:N35 M51:N51 B67:C67 B115:C115 B83:C83 B99:C99 M67:N67 M83:N83 M99:N99 M115:N115" xr:uid="{54041622-950B-4FD3-A3A9-C171C8D9B533}">
      <formula1>"Zona sísmica A,Zona sísmica B,Zona sísmica C,Zona sísmica D,"</formula1>
    </dataValidation>
    <dataValidation type="list" allowBlank="1" showInputMessage="1" showErrorMessage="1" sqref="M7:M17 B55:B65 B7:B17 B23:B33 B39:B49 M23:M33 M39:M49 M55:M65 B71:B81 B119:B129 B87:B97 B103:B113 M71:M81 M87:M97 M103:M113 M119:M129" xr:uid="{75062AA3-46FD-476F-A5AE-F9B36F9CBE7D}">
      <formula1>"*Inclinación del sistema 5°,*Inclinación del sistema 10°,*Inclinación del sistema 15°,*Inclinación del sistema 20°"</formula1>
    </dataValidation>
    <dataValidation type="list" allowBlank="1" showInputMessage="1" showErrorMessage="1" sqref="M4:M6 B52:B54 B4:B6 B20:B22 B36:B38 M20:M22 M36:M38 M52:M54 B68:B70 B116:B118 B84:B86 B100:B102 M68:M70 M84:M86 M100:M102 M116:M118" xr:uid="{89FA1DBF-8040-41F9-9389-BB66BDEF7528}">
      <formula1>"Categoría de terreno 1,Categoría de terreno 2,Categoría de terreno 3,Categoría de terreno 4"</formula1>
    </dataValidation>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01807-EC2D-46F8-8D10-6E9EFD9088CD}">
  <sheetPr codeName="Hoja18"/>
  <dimension ref="B2:V129"/>
  <sheetViews>
    <sheetView topLeftCell="A98" workbookViewId="0">
      <selection activeCell="F8" sqref="F8"/>
    </sheetView>
  </sheetViews>
  <sheetFormatPr defaultColWidth="11.453125" defaultRowHeight="14.5"/>
  <sheetData>
    <row r="2" spans="2:22" ht="15" thickBot="1"/>
    <row r="3" spans="2:22" ht="16" thickBot="1">
      <c r="B3" s="585" t="s">
        <v>475</v>
      </c>
      <c r="C3" s="578"/>
      <c r="D3" s="577" t="s">
        <v>462</v>
      </c>
      <c r="E3" s="577"/>
      <c r="F3" s="577"/>
      <c r="G3" s="577"/>
      <c r="H3" s="577"/>
      <c r="I3" s="577"/>
      <c r="J3" s="577"/>
      <c r="K3" s="578"/>
      <c r="M3" s="585" t="s">
        <v>475</v>
      </c>
      <c r="N3" s="578"/>
      <c r="O3" s="577" t="s">
        <v>462</v>
      </c>
      <c r="P3" s="577"/>
      <c r="Q3" s="577"/>
      <c r="R3" s="577"/>
      <c r="S3" s="577"/>
      <c r="T3" s="577"/>
      <c r="U3" s="577"/>
      <c r="V3" s="578"/>
    </row>
    <row r="4" spans="2:22">
      <c r="B4" s="569" t="s">
        <v>466</v>
      </c>
      <c r="C4" s="569" t="s">
        <v>463</v>
      </c>
      <c r="D4" s="579" t="s">
        <v>464</v>
      </c>
      <c r="E4" s="580"/>
      <c r="F4" s="580"/>
      <c r="G4" s="580"/>
      <c r="H4" s="580"/>
      <c r="I4" s="580"/>
      <c r="J4" s="580"/>
      <c r="K4" s="581"/>
      <c r="M4" s="568" t="s">
        <v>466</v>
      </c>
      <c r="N4" s="569" t="s">
        <v>463</v>
      </c>
      <c r="O4" s="579" t="s">
        <v>464</v>
      </c>
      <c r="P4" s="580"/>
      <c r="Q4" s="580"/>
      <c r="R4" s="580"/>
      <c r="S4" s="580"/>
      <c r="T4" s="580"/>
      <c r="U4" s="580"/>
      <c r="V4" s="581"/>
    </row>
    <row r="5" spans="2:22" ht="15" thickBot="1">
      <c r="B5" s="569"/>
      <c r="C5" s="569"/>
      <c r="D5" s="582"/>
      <c r="E5" s="583"/>
      <c r="F5" s="583"/>
      <c r="G5" s="583"/>
      <c r="H5" s="583"/>
      <c r="I5" s="583"/>
      <c r="J5" s="583"/>
      <c r="K5" s="584"/>
      <c r="M5" s="569"/>
      <c r="N5" s="569"/>
      <c r="O5" s="582"/>
      <c r="P5" s="583"/>
      <c r="Q5" s="583"/>
      <c r="R5" s="583"/>
      <c r="S5" s="583"/>
      <c r="T5" s="583"/>
      <c r="U5" s="583"/>
      <c r="V5" s="584"/>
    </row>
    <row r="6" spans="2:22" ht="15" thickBot="1">
      <c r="B6" s="570"/>
      <c r="C6" s="569"/>
      <c r="D6" s="22">
        <v>0</v>
      </c>
      <c r="E6" s="22">
        <v>500</v>
      </c>
      <c r="F6" s="22">
        <v>1000</v>
      </c>
      <c r="G6" s="22">
        <v>1500</v>
      </c>
      <c r="H6" s="22">
        <v>2000</v>
      </c>
      <c r="I6" s="22">
        <v>2500</v>
      </c>
      <c r="J6" s="22">
        <v>3000</v>
      </c>
      <c r="K6" s="23">
        <v>3500</v>
      </c>
      <c r="M6" s="570"/>
      <c r="N6" s="570"/>
      <c r="O6" s="22">
        <v>0</v>
      </c>
      <c r="P6" s="22">
        <v>500</v>
      </c>
      <c r="Q6" s="22">
        <v>1000</v>
      </c>
      <c r="R6" s="22">
        <v>1500</v>
      </c>
      <c r="S6" s="22">
        <v>2000</v>
      </c>
      <c r="T6" s="22">
        <v>2500</v>
      </c>
      <c r="U6" s="22">
        <v>3000</v>
      </c>
      <c r="V6" s="23">
        <v>3500</v>
      </c>
    </row>
    <row r="7" spans="2:22">
      <c r="B7" s="586" t="s">
        <v>467</v>
      </c>
      <c r="C7" s="24">
        <v>100</v>
      </c>
      <c r="D7" s="25">
        <v>1.4</v>
      </c>
      <c r="E7" s="25">
        <v>1.4</v>
      </c>
      <c r="F7" s="25">
        <v>1.4</v>
      </c>
      <c r="G7" s="25">
        <v>1.4</v>
      </c>
      <c r="H7" s="25">
        <v>1.4</v>
      </c>
      <c r="I7" s="25">
        <v>1.4</v>
      </c>
      <c r="J7" s="25">
        <v>1.4</v>
      </c>
      <c r="K7" s="26">
        <v>1.4</v>
      </c>
      <c r="M7" s="586" t="s">
        <v>468</v>
      </c>
      <c r="N7" s="24">
        <v>100</v>
      </c>
      <c r="O7" s="25">
        <v>1.5299999713897705</v>
      </c>
      <c r="P7" s="25">
        <v>1.5700000524520874</v>
      </c>
      <c r="Q7" s="25">
        <v>1.6100000143051147</v>
      </c>
      <c r="R7" s="25">
        <v>1.6499999761581421</v>
      </c>
      <c r="S7" s="25">
        <v>1.6699999570846558</v>
      </c>
      <c r="T7" s="25">
        <v>1.6699999570846558</v>
      </c>
      <c r="U7" s="25">
        <v>1.6699999570846558</v>
      </c>
      <c r="V7" s="26">
        <v>1.6699999570846558</v>
      </c>
    </row>
    <row r="8" spans="2:22">
      <c r="B8" s="587"/>
      <c r="C8" s="27">
        <v>110</v>
      </c>
      <c r="D8" s="28">
        <v>1.4</v>
      </c>
      <c r="E8" s="28">
        <v>1.4</v>
      </c>
      <c r="F8" s="28">
        <v>1.4</v>
      </c>
      <c r="G8" s="28">
        <v>1.4</v>
      </c>
      <c r="H8" s="28">
        <v>1.4</v>
      </c>
      <c r="I8" s="28">
        <v>1.4</v>
      </c>
      <c r="J8" s="28">
        <v>1.4</v>
      </c>
      <c r="K8" s="29">
        <v>1.4</v>
      </c>
      <c r="M8" s="587"/>
      <c r="N8" s="27">
        <v>110</v>
      </c>
      <c r="O8" s="28">
        <v>1.4099999666213989</v>
      </c>
      <c r="P8" s="28">
        <v>1.440000057220459</v>
      </c>
      <c r="Q8" s="28">
        <v>1.4800000190734863</v>
      </c>
      <c r="R8" s="28">
        <v>1.5199999809265137</v>
      </c>
      <c r="S8" s="28">
        <v>1.5499999523162842</v>
      </c>
      <c r="T8" s="28">
        <v>1.5900000333786011</v>
      </c>
      <c r="U8" s="28">
        <v>1.6299999952316284</v>
      </c>
      <c r="V8" s="29">
        <v>1.6699999570846558</v>
      </c>
    </row>
    <row r="9" spans="2:22">
      <c r="B9" s="587"/>
      <c r="C9" s="30">
        <v>120</v>
      </c>
      <c r="D9" s="31">
        <v>1.4</v>
      </c>
      <c r="E9" s="31">
        <v>1.4</v>
      </c>
      <c r="F9" s="31">
        <v>1.4</v>
      </c>
      <c r="G9" s="31">
        <v>1.4</v>
      </c>
      <c r="H9" s="31">
        <v>1.4</v>
      </c>
      <c r="I9" s="31">
        <v>1.4</v>
      </c>
      <c r="J9" s="31">
        <v>1.4</v>
      </c>
      <c r="K9" s="32">
        <v>1.4</v>
      </c>
      <c r="M9" s="587"/>
      <c r="N9" s="30">
        <v>120</v>
      </c>
      <c r="O9" s="31">
        <v>1.2999999523162842</v>
      </c>
      <c r="P9" s="31">
        <v>1.33</v>
      </c>
      <c r="Q9" s="31">
        <v>1.37</v>
      </c>
      <c r="R9" s="31">
        <v>1.41</v>
      </c>
      <c r="S9" s="31">
        <v>1.45</v>
      </c>
      <c r="T9" s="31">
        <v>1.49</v>
      </c>
      <c r="U9" s="31">
        <v>1.53</v>
      </c>
      <c r="V9" s="32">
        <v>1.5700000524520874</v>
      </c>
    </row>
    <row r="10" spans="2:22">
      <c r="B10" s="587"/>
      <c r="C10" s="27">
        <v>130</v>
      </c>
      <c r="D10" s="28">
        <v>1.3500000238418579</v>
      </c>
      <c r="E10" s="28">
        <v>1.3899999856948853</v>
      </c>
      <c r="F10" s="28">
        <v>1.3999999761581421</v>
      </c>
      <c r="G10" s="28">
        <v>1.3999999761581421</v>
      </c>
      <c r="H10" s="28">
        <v>1.3999999761581421</v>
      </c>
      <c r="I10" s="28">
        <v>1.3999999761581421</v>
      </c>
      <c r="J10" s="28">
        <v>1.3999999761581421</v>
      </c>
      <c r="K10" s="29">
        <v>1.4</v>
      </c>
      <c r="M10" s="587"/>
      <c r="N10" s="27">
        <v>130</v>
      </c>
      <c r="O10" s="28">
        <v>1.2000000476837158</v>
      </c>
      <c r="P10" s="28">
        <v>1.23</v>
      </c>
      <c r="Q10" s="28">
        <v>1.27</v>
      </c>
      <c r="R10" s="28">
        <v>1.31</v>
      </c>
      <c r="S10" s="28">
        <v>1.35</v>
      </c>
      <c r="T10" s="28">
        <v>1.39</v>
      </c>
      <c r="U10" s="28">
        <v>1.43</v>
      </c>
      <c r="V10" s="29">
        <v>1.4700000286102295</v>
      </c>
    </row>
    <row r="11" spans="2:22">
      <c r="B11" s="587"/>
      <c r="C11" s="30">
        <v>140</v>
      </c>
      <c r="D11" s="31">
        <v>1.2599999904632568</v>
      </c>
      <c r="E11" s="31">
        <v>1.2999999523162842</v>
      </c>
      <c r="F11" s="31">
        <v>1.3400000333786011</v>
      </c>
      <c r="G11" s="31">
        <v>1.3700000047683716</v>
      </c>
      <c r="H11" s="31">
        <v>1.3999999761581421</v>
      </c>
      <c r="I11" s="31">
        <v>1.3999999761581421</v>
      </c>
      <c r="J11" s="31">
        <v>1.3999999761581421</v>
      </c>
      <c r="K11" s="32">
        <v>1.4</v>
      </c>
      <c r="M11" s="587"/>
      <c r="N11" s="30">
        <v>140</v>
      </c>
      <c r="O11" s="31">
        <v>1.1100000143051147</v>
      </c>
      <c r="P11" s="31">
        <v>1.1399999999999999</v>
      </c>
      <c r="Q11" s="31">
        <v>1.18</v>
      </c>
      <c r="R11" s="31">
        <v>1.22</v>
      </c>
      <c r="S11" s="31">
        <v>1.26</v>
      </c>
      <c r="T11" s="31">
        <v>1.3</v>
      </c>
      <c r="U11" s="31">
        <v>1.34</v>
      </c>
      <c r="V11" s="32">
        <v>1.3799999952316284</v>
      </c>
    </row>
    <row r="12" spans="2:22">
      <c r="B12" s="587"/>
      <c r="C12" s="27">
        <v>150</v>
      </c>
      <c r="D12" s="28">
        <v>1.190000057220459</v>
      </c>
      <c r="E12" s="28">
        <v>1.2200000286102295</v>
      </c>
      <c r="F12" s="28">
        <v>1.25</v>
      </c>
      <c r="G12" s="28">
        <v>1.2799999713897705</v>
      </c>
      <c r="H12" s="28">
        <v>1.3200000524520874</v>
      </c>
      <c r="I12" s="28">
        <v>1.3500000238418579</v>
      </c>
      <c r="J12" s="28">
        <v>1.3999999761581421</v>
      </c>
      <c r="K12" s="29">
        <v>1.4</v>
      </c>
      <c r="M12" s="587"/>
      <c r="N12" s="27">
        <v>150</v>
      </c>
      <c r="O12" s="28">
        <v>1.0299999713897705</v>
      </c>
      <c r="P12" s="28">
        <v>1.06</v>
      </c>
      <c r="Q12" s="28">
        <v>1.1000000000000001</v>
      </c>
      <c r="R12" s="28">
        <v>1.1399999999999999</v>
      </c>
      <c r="S12" s="28">
        <v>1.17</v>
      </c>
      <c r="T12" s="28">
        <v>1.21</v>
      </c>
      <c r="U12" s="28">
        <v>1.25</v>
      </c>
      <c r="V12" s="29">
        <v>1.2899999618530273</v>
      </c>
    </row>
    <row r="13" spans="2:22">
      <c r="B13" s="587"/>
      <c r="C13" s="30">
        <v>160</v>
      </c>
      <c r="D13" s="31">
        <v>1.1200000047683716</v>
      </c>
      <c r="E13" s="31">
        <v>1.1499999999999999</v>
      </c>
      <c r="F13" s="31">
        <v>1.18</v>
      </c>
      <c r="G13" s="31">
        <v>1.22</v>
      </c>
      <c r="H13" s="31">
        <v>1.25</v>
      </c>
      <c r="I13" s="31">
        <v>1.29</v>
      </c>
      <c r="J13" s="31">
        <v>1.32</v>
      </c>
      <c r="K13" s="32">
        <v>1.3600000143051147</v>
      </c>
      <c r="M13" s="587"/>
      <c r="N13" s="30">
        <v>160</v>
      </c>
      <c r="O13" s="31">
        <v>0.95999997854232788</v>
      </c>
      <c r="P13" s="31">
        <v>0.99</v>
      </c>
      <c r="Q13" s="31">
        <v>1.02</v>
      </c>
      <c r="R13" s="31">
        <v>1.06</v>
      </c>
      <c r="S13" s="31">
        <v>1.0900000000000001</v>
      </c>
      <c r="T13" s="31">
        <v>1.1299999999999999</v>
      </c>
      <c r="U13" s="31">
        <v>1.1599999999999999</v>
      </c>
      <c r="V13" s="32">
        <v>1.2000000476837158</v>
      </c>
    </row>
    <row r="14" spans="2:22">
      <c r="B14" s="587"/>
      <c r="C14" s="27">
        <v>170</v>
      </c>
      <c r="D14" s="28">
        <v>1.059999942779541</v>
      </c>
      <c r="E14" s="28">
        <v>1.0900000000000001</v>
      </c>
      <c r="F14" s="28">
        <v>1.1200000000000001</v>
      </c>
      <c r="G14" s="28">
        <v>1.1499999999999999</v>
      </c>
      <c r="H14" s="28">
        <v>1.18</v>
      </c>
      <c r="I14" s="28">
        <v>1.21</v>
      </c>
      <c r="J14" s="28">
        <v>1.24</v>
      </c>
      <c r="K14" s="29">
        <v>1.2799999713897705</v>
      </c>
      <c r="M14" s="587"/>
      <c r="N14" s="27">
        <v>170</v>
      </c>
      <c r="O14" s="28">
        <v>0.86000001430511475</v>
      </c>
      <c r="P14" s="28">
        <v>0.89</v>
      </c>
      <c r="Q14" s="28">
        <v>0.93</v>
      </c>
      <c r="R14" s="28">
        <v>0.97</v>
      </c>
      <c r="S14" s="28">
        <v>1.01</v>
      </c>
      <c r="T14" s="28">
        <v>1.05</v>
      </c>
      <c r="U14" s="28">
        <v>1.0900000000000001</v>
      </c>
      <c r="V14" s="29">
        <v>1.1299999952316284</v>
      </c>
    </row>
    <row r="15" spans="2:22">
      <c r="B15" s="587"/>
      <c r="C15" s="30">
        <v>180</v>
      </c>
      <c r="D15" s="31">
        <v>1</v>
      </c>
      <c r="E15" s="31">
        <v>1.03</v>
      </c>
      <c r="F15" s="31">
        <v>1.06</v>
      </c>
      <c r="G15" s="31">
        <v>1.0900000000000001</v>
      </c>
      <c r="H15" s="31">
        <v>1.1200000000000001</v>
      </c>
      <c r="I15" s="31">
        <v>1.1499999999999999</v>
      </c>
      <c r="J15" s="31">
        <v>1.18</v>
      </c>
      <c r="K15" s="32">
        <v>1.2200000286102295</v>
      </c>
      <c r="M15" s="587"/>
      <c r="N15" s="30">
        <v>180</v>
      </c>
      <c r="O15" s="31" t="s">
        <v>114</v>
      </c>
      <c r="P15" s="31">
        <v>0.81000000238418579</v>
      </c>
      <c r="Q15" s="31">
        <v>0.85000002384185791</v>
      </c>
      <c r="R15" s="31">
        <v>0.9100000262260437</v>
      </c>
      <c r="S15" s="31">
        <v>0.95999997854232788</v>
      </c>
      <c r="T15" s="31">
        <v>1</v>
      </c>
      <c r="U15" s="31">
        <v>1.0299999713897705</v>
      </c>
      <c r="V15" s="32">
        <v>1.059999942779541</v>
      </c>
    </row>
    <row r="16" spans="2:22">
      <c r="B16" s="587"/>
      <c r="C16" s="27">
        <v>190</v>
      </c>
      <c r="D16" s="28">
        <v>0.92000001668930054</v>
      </c>
      <c r="E16" s="28">
        <v>0.95</v>
      </c>
      <c r="F16" s="28">
        <v>0.98</v>
      </c>
      <c r="G16" s="28">
        <v>1.02</v>
      </c>
      <c r="H16" s="28">
        <v>1.05</v>
      </c>
      <c r="I16" s="28">
        <v>1.0900000000000001</v>
      </c>
      <c r="J16" s="28">
        <v>1.1200000000000001</v>
      </c>
      <c r="K16" s="29">
        <v>1.1599999666213989</v>
      </c>
      <c r="M16" s="587"/>
      <c r="N16" s="27">
        <v>190</v>
      </c>
      <c r="O16" s="28" t="s">
        <v>114</v>
      </c>
      <c r="P16" s="28" t="s">
        <v>114</v>
      </c>
      <c r="Q16" s="28" t="s">
        <v>114</v>
      </c>
      <c r="R16" s="28">
        <v>0.81000000238418579</v>
      </c>
      <c r="S16" s="28">
        <v>0.86000001430511475</v>
      </c>
      <c r="T16" s="28">
        <v>0.92000001668930054</v>
      </c>
      <c r="U16" s="28">
        <v>0.97000002861022949</v>
      </c>
      <c r="V16" s="29">
        <v>1.0099999904632568</v>
      </c>
    </row>
    <row r="17" spans="2:22" ht="15" thickBot="1">
      <c r="B17" s="588"/>
      <c r="C17" s="33">
        <v>200</v>
      </c>
      <c r="D17" s="34">
        <v>0.8399999737739563</v>
      </c>
      <c r="E17" s="34">
        <v>0.87</v>
      </c>
      <c r="F17" s="34">
        <v>0.91</v>
      </c>
      <c r="G17" s="35">
        <v>0.95</v>
      </c>
      <c r="H17" s="34">
        <v>0.99</v>
      </c>
      <c r="I17" s="34">
        <v>1.03</v>
      </c>
      <c r="J17" s="34">
        <v>1.07</v>
      </c>
      <c r="K17" s="36">
        <v>1.1100000143051147</v>
      </c>
      <c r="M17" s="588"/>
      <c r="N17" s="33">
        <v>200</v>
      </c>
      <c r="O17" s="34" t="s">
        <v>114</v>
      </c>
      <c r="P17" s="34" t="s">
        <v>114</v>
      </c>
      <c r="Q17" s="34" t="s">
        <v>114</v>
      </c>
      <c r="R17" s="35" t="s">
        <v>114</v>
      </c>
      <c r="S17" s="34" t="s">
        <v>114</v>
      </c>
      <c r="T17" s="34">
        <v>0.82999998331069946</v>
      </c>
      <c r="U17" s="34">
        <v>0.87999999523162842</v>
      </c>
      <c r="V17" s="36">
        <v>0.94999998807907104</v>
      </c>
    </row>
    <row r="18" spans="2:22" ht="15" thickBot="1"/>
    <row r="19" spans="2:22" ht="16" thickBot="1">
      <c r="B19" s="585" t="s">
        <v>475</v>
      </c>
      <c r="C19" s="578"/>
      <c r="D19" s="577" t="s">
        <v>462</v>
      </c>
      <c r="E19" s="577"/>
      <c r="F19" s="577"/>
      <c r="G19" s="577"/>
      <c r="H19" s="577"/>
      <c r="I19" s="577"/>
      <c r="J19" s="577"/>
      <c r="K19" s="578"/>
      <c r="M19" s="585" t="s">
        <v>475</v>
      </c>
      <c r="N19" s="578"/>
      <c r="O19" s="577" t="s">
        <v>462</v>
      </c>
      <c r="P19" s="577"/>
      <c r="Q19" s="577"/>
      <c r="R19" s="577"/>
      <c r="S19" s="577"/>
      <c r="T19" s="577"/>
      <c r="U19" s="577"/>
      <c r="V19" s="578"/>
    </row>
    <row r="20" spans="2:22">
      <c r="B20" s="569" t="s">
        <v>469</v>
      </c>
      <c r="C20" s="569" t="s">
        <v>463</v>
      </c>
      <c r="D20" s="579" t="s">
        <v>464</v>
      </c>
      <c r="E20" s="580"/>
      <c r="F20" s="580"/>
      <c r="G20" s="580"/>
      <c r="H20" s="580"/>
      <c r="I20" s="580"/>
      <c r="J20" s="580"/>
      <c r="K20" s="581"/>
      <c r="M20" s="568" t="s">
        <v>469</v>
      </c>
      <c r="N20" s="569" t="s">
        <v>463</v>
      </c>
      <c r="O20" s="579" t="s">
        <v>464</v>
      </c>
      <c r="P20" s="580"/>
      <c r="Q20" s="580"/>
      <c r="R20" s="580"/>
      <c r="S20" s="580"/>
      <c r="T20" s="580"/>
      <c r="U20" s="580"/>
      <c r="V20" s="581"/>
    </row>
    <row r="21" spans="2:22" ht="15" thickBot="1">
      <c r="B21" s="569"/>
      <c r="C21" s="569"/>
      <c r="D21" s="582"/>
      <c r="E21" s="583"/>
      <c r="F21" s="583"/>
      <c r="G21" s="583"/>
      <c r="H21" s="583"/>
      <c r="I21" s="583"/>
      <c r="J21" s="583"/>
      <c r="K21" s="584"/>
      <c r="M21" s="569"/>
      <c r="N21" s="569"/>
      <c r="O21" s="582"/>
      <c r="P21" s="583"/>
      <c r="Q21" s="583"/>
      <c r="R21" s="583"/>
      <c r="S21" s="583"/>
      <c r="T21" s="583"/>
      <c r="U21" s="583"/>
      <c r="V21" s="584"/>
    </row>
    <row r="22" spans="2:22" ht="15" thickBot="1">
      <c r="B22" s="570"/>
      <c r="C22" s="569"/>
      <c r="D22" s="22">
        <v>0</v>
      </c>
      <c r="E22" s="22">
        <v>500</v>
      </c>
      <c r="F22" s="22">
        <v>1000</v>
      </c>
      <c r="G22" s="22">
        <v>1500</v>
      </c>
      <c r="H22" s="22">
        <v>2000</v>
      </c>
      <c r="I22" s="22">
        <v>2500</v>
      </c>
      <c r="J22" s="22">
        <v>3000</v>
      </c>
      <c r="K22" s="23">
        <v>3500</v>
      </c>
      <c r="M22" s="570"/>
      <c r="N22" s="570"/>
      <c r="O22" s="22">
        <v>0</v>
      </c>
      <c r="P22" s="22">
        <v>500</v>
      </c>
      <c r="Q22" s="22">
        <v>1000</v>
      </c>
      <c r="R22" s="22">
        <v>1500</v>
      </c>
      <c r="S22" s="22">
        <v>2000</v>
      </c>
      <c r="T22" s="22">
        <v>2500</v>
      </c>
      <c r="U22" s="22">
        <v>3000</v>
      </c>
      <c r="V22" s="23">
        <v>3500</v>
      </c>
    </row>
    <row r="23" spans="2:22">
      <c r="B23" s="586" t="s">
        <v>467</v>
      </c>
      <c r="C23" s="24">
        <v>100</v>
      </c>
      <c r="D23" s="25">
        <v>1.4</v>
      </c>
      <c r="E23" s="25">
        <v>1.4</v>
      </c>
      <c r="F23" s="25">
        <v>1.4</v>
      </c>
      <c r="G23" s="25">
        <v>1.4</v>
      </c>
      <c r="H23" s="25">
        <v>1.4</v>
      </c>
      <c r="I23" s="25">
        <v>1.4</v>
      </c>
      <c r="J23" s="25">
        <v>1.4</v>
      </c>
      <c r="K23" s="26">
        <v>1.4</v>
      </c>
      <c r="M23" s="586" t="s">
        <v>468</v>
      </c>
      <c r="N23" s="24">
        <v>100</v>
      </c>
      <c r="O23" s="25">
        <v>1.67</v>
      </c>
      <c r="P23" s="25">
        <v>1.67</v>
      </c>
      <c r="Q23" s="25">
        <v>1.67</v>
      </c>
      <c r="R23" s="25">
        <v>1.67</v>
      </c>
      <c r="S23" s="25">
        <v>1.67</v>
      </c>
      <c r="T23" s="25">
        <v>1.67</v>
      </c>
      <c r="U23" s="25">
        <v>1.67</v>
      </c>
      <c r="V23" s="26">
        <v>1.67</v>
      </c>
    </row>
    <row r="24" spans="2:22">
      <c r="B24" s="587"/>
      <c r="C24" s="27">
        <v>110</v>
      </c>
      <c r="D24" s="28">
        <v>1.4</v>
      </c>
      <c r="E24" s="28">
        <v>1.4</v>
      </c>
      <c r="F24" s="28">
        <v>1.4</v>
      </c>
      <c r="G24" s="28">
        <v>1.4</v>
      </c>
      <c r="H24" s="28">
        <v>1.4</v>
      </c>
      <c r="I24" s="28">
        <v>1.4</v>
      </c>
      <c r="J24" s="28">
        <v>1.4</v>
      </c>
      <c r="K24" s="29">
        <v>1.4</v>
      </c>
      <c r="M24" s="587"/>
      <c r="N24" s="27">
        <v>110</v>
      </c>
      <c r="O24" s="28">
        <v>1.5700000524520874</v>
      </c>
      <c r="P24" s="28">
        <v>1.6000000238418579</v>
      </c>
      <c r="Q24" s="28">
        <v>1.6399999856948853</v>
      </c>
      <c r="R24" s="28">
        <v>1.6699999570846558</v>
      </c>
      <c r="S24" s="28">
        <v>1.6699999570846558</v>
      </c>
      <c r="T24" s="28">
        <v>1.6699999570846558</v>
      </c>
      <c r="U24" s="28">
        <v>1.6699999570846558</v>
      </c>
      <c r="V24" s="29">
        <v>1.67</v>
      </c>
    </row>
    <row r="25" spans="2:22">
      <c r="B25" s="587"/>
      <c r="C25" s="30">
        <v>120</v>
      </c>
      <c r="D25" s="31">
        <v>1.4</v>
      </c>
      <c r="E25" s="31">
        <v>1.4</v>
      </c>
      <c r="F25" s="31">
        <v>1.4</v>
      </c>
      <c r="G25" s="31">
        <v>1.4</v>
      </c>
      <c r="H25" s="31">
        <v>1.4</v>
      </c>
      <c r="I25" s="31">
        <v>1.4</v>
      </c>
      <c r="J25" s="31">
        <v>1.4</v>
      </c>
      <c r="K25" s="32">
        <v>1.4</v>
      </c>
      <c r="M25" s="587"/>
      <c r="N25" s="30">
        <v>120</v>
      </c>
      <c r="O25" s="31">
        <v>1.4600000381469727</v>
      </c>
      <c r="P25" s="31">
        <v>1.5</v>
      </c>
      <c r="Q25" s="31">
        <v>1.5399999618530273</v>
      </c>
      <c r="R25" s="31">
        <v>1.5800000429153442</v>
      </c>
      <c r="S25" s="31">
        <v>1.6100000143051147</v>
      </c>
      <c r="T25" s="31">
        <v>1.6399999856948853</v>
      </c>
      <c r="U25" s="31">
        <v>1.6699999570846558</v>
      </c>
      <c r="V25" s="32">
        <v>1.67</v>
      </c>
    </row>
    <row r="26" spans="2:22">
      <c r="B26" s="587"/>
      <c r="C26" s="27">
        <v>130</v>
      </c>
      <c r="D26" s="28">
        <v>1.4</v>
      </c>
      <c r="E26" s="28">
        <v>1.4</v>
      </c>
      <c r="F26" s="28">
        <v>1.4</v>
      </c>
      <c r="G26" s="28">
        <v>1.4</v>
      </c>
      <c r="H26" s="28">
        <v>1.4</v>
      </c>
      <c r="I26" s="28">
        <v>1.4</v>
      </c>
      <c r="J26" s="28">
        <v>1.4</v>
      </c>
      <c r="K26" s="29">
        <v>1.4</v>
      </c>
      <c r="M26" s="587"/>
      <c r="N26" s="27">
        <v>130</v>
      </c>
      <c r="O26" s="28">
        <v>1.3600000143051147</v>
      </c>
      <c r="P26" s="28">
        <v>1.4</v>
      </c>
      <c r="Q26" s="28">
        <v>1.44</v>
      </c>
      <c r="R26" s="28">
        <v>1.48</v>
      </c>
      <c r="S26" s="28">
        <v>1.51</v>
      </c>
      <c r="T26" s="28">
        <v>1.55</v>
      </c>
      <c r="U26" s="28">
        <v>1.59</v>
      </c>
      <c r="V26" s="29">
        <v>1.6399999856948853</v>
      </c>
    </row>
    <row r="27" spans="2:22">
      <c r="B27" s="587"/>
      <c r="C27" s="30">
        <v>140</v>
      </c>
      <c r="D27" s="31">
        <v>1.4</v>
      </c>
      <c r="E27" s="31">
        <v>1.4</v>
      </c>
      <c r="F27" s="31">
        <v>1.4</v>
      </c>
      <c r="G27" s="31">
        <v>1.4</v>
      </c>
      <c r="H27" s="31">
        <v>1.4</v>
      </c>
      <c r="I27" s="31">
        <v>1.4</v>
      </c>
      <c r="J27" s="31">
        <v>1.4</v>
      </c>
      <c r="K27" s="32">
        <v>1.4</v>
      </c>
      <c r="M27" s="587"/>
      <c r="N27" s="30">
        <v>140</v>
      </c>
      <c r="O27" s="31">
        <v>1.2699999809265137</v>
      </c>
      <c r="P27" s="31">
        <v>1.3</v>
      </c>
      <c r="Q27" s="31">
        <v>1.34</v>
      </c>
      <c r="R27" s="31">
        <v>1.38</v>
      </c>
      <c r="S27" s="31">
        <v>1.42</v>
      </c>
      <c r="T27" s="31">
        <v>1.46</v>
      </c>
      <c r="U27" s="31">
        <v>1.5</v>
      </c>
      <c r="V27" s="32">
        <v>1.5399999618530273</v>
      </c>
    </row>
    <row r="28" spans="2:22">
      <c r="B28" s="587"/>
      <c r="C28" s="27">
        <v>150</v>
      </c>
      <c r="D28" s="28">
        <v>1.3300000429153442</v>
      </c>
      <c r="E28" s="28">
        <v>1.3600000143051147</v>
      </c>
      <c r="F28" s="28">
        <v>1.3999999761581421</v>
      </c>
      <c r="G28" s="28">
        <v>1.3999999761581421</v>
      </c>
      <c r="H28" s="28">
        <v>1.3999999761581421</v>
      </c>
      <c r="I28" s="28">
        <v>1.3999999761581421</v>
      </c>
      <c r="J28" s="28">
        <v>1.3999999761581421</v>
      </c>
      <c r="K28" s="29">
        <v>1.4</v>
      </c>
      <c r="M28" s="587"/>
      <c r="N28" s="27">
        <v>150</v>
      </c>
      <c r="O28" s="28">
        <v>1.1799999475479126</v>
      </c>
      <c r="P28" s="28">
        <v>1.21</v>
      </c>
      <c r="Q28" s="28">
        <v>1.25</v>
      </c>
      <c r="R28" s="28">
        <v>1.29</v>
      </c>
      <c r="S28" s="28">
        <v>1.33</v>
      </c>
      <c r="T28" s="28">
        <v>1.37</v>
      </c>
      <c r="U28" s="28">
        <v>1.41</v>
      </c>
      <c r="V28" s="29">
        <v>1.4500000476837158</v>
      </c>
    </row>
    <row r="29" spans="2:22">
      <c r="B29" s="587"/>
      <c r="C29" s="30">
        <v>160</v>
      </c>
      <c r="D29" s="31">
        <v>1.2599999904632568</v>
      </c>
      <c r="E29" s="31">
        <v>1.2899999618530273</v>
      </c>
      <c r="F29" s="31">
        <v>1.3200000524520874</v>
      </c>
      <c r="G29" s="31">
        <v>1.3600000143051147</v>
      </c>
      <c r="H29" s="31">
        <v>1.3999999761581421</v>
      </c>
      <c r="I29" s="31">
        <v>1.3999999761581421</v>
      </c>
      <c r="J29" s="31">
        <v>1.3999999761581421</v>
      </c>
      <c r="K29" s="32">
        <v>1.4</v>
      </c>
      <c r="M29" s="587"/>
      <c r="N29" s="30">
        <v>160</v>
      </c>
      <c r="O29" s="31">
        <v>1.1000000238418579</v>
      </c>
      <c r="P29" s="31">
        <v>1.1299999999999999</v>
      </c>
      <c r="Q29" s="31">
        <v>1.17</v>
      </c>
      <c r="R29" s="31">
        <v>1.21</v>
      </c>
      <c r="S29" s="31">
        <v>1.25</v>
      </c>
      <c r="T29" s="31">
        <v>1.29</v>
      </c>
      <c r="U29" s="31">
        <v>1.33</v>
      </c>
      <c r="V29" s="32">
        <v>1.3700000047683716</v>
      </c>
    </row>
    <row r="30" spans="2:22">
      <c r="B30" s="587"/>
      <c r="C30" s="27">
        <v>170</v>
      </c>
      <c r="D30" s="28">
        <v>1.190000057220459</v>
      </c>
      <c r="E30" s="28">
        <v>1.2200000286102295</v>
      </c>
      <c r="F30" s="28">
        <v>1.25</v>
      </c>
      <c r="G30" s="28">
        <v>1.2899999618530273</v>
      </c>
      <c r="H30" s="28">
        <v>1.3200000524520874</v>
      </c>
      <c r="I30" s="28">
        <v>1.3600000143051147</v>
      </c>
      <c r="J30" s="28">
        <v>1.3999999761581421</v>
      </c>
      <c r="K30" s="29">
        <v>1.4</v>
      </c>
      <c r="M30" s="587"/>
      <c r="N30" s="27">
        <v>170</v>
      </c>
      <c r="O30" s="28">
        <v>1.0299999713897705</v>
      </c>
      <c r="P30" s="28">
        <v>1.06</v>
      </c>
      <c r="Q30" s="28">
        <v>1.1000000000000001</v>
      </c>
      <c r="R30" s="28">
        <v>1.1399999999999999</v>
      </c>
      <c r="S30" s="28">
        <v>1.17</v>
      </c>
      <c r="T30" s="28">
        <v>1.21</v>
      </c>
      <c r="U30" s="28">
        <v>1.25</v>
      </c>
      <c r="V30" s="29">
        <v>1.2899999618530273</v>
      </c>
    </row>
    <row r="31" spans="2:22">
      <c r="B31" s="587"/>
      <c r="C31" s="30">
        <v>180</v>
      </c>
      <c r="D31" s="31">
        <v>1.1299999952316284</v>
      </c>
      <c r="E31" s="31">
        <v>1.1599999999999999</v>
      </c>
      <c r="F31" s="31">
        <v>1.19</v>
      </c>
      <c r="G31" s="31">
        <v>1.23</v>
      </c>
      <c r="H31" s="31">
        <v>1.26</v>
      </c>
      <c r="I31" s="31">
        <v>1.3</v>
      </c>
      <c r="J31" s="31">
        <v>1.33</v>
      </c>
      <c r="K31" s="32">
        <v>1.3700000047683716</v>
      </c>
      <c r="M31" s="587"/>
      <c r="N31" s="30">
        <v>180</v>
      </c>
      <c r="O31" s="31">
        <v>0.97000002861022949</v>
      </c>
      <c r="P31" s="31">
        <v>1</v>
      </c>
      <c r="Q31" s="31">
        <v>1.04</v>
      </c>
      <c r="R31" s="31">
        <v>1.07</v>
      </c>
      <c r="S31" s="31">
        <v>1.1100000000000001</v>
      </c>
      <c r="T31" s="31">
        <v>1.1399999999999999</v>
      </c>
      <c r="U31" s="31">
        <v>1.18</v>
      </c>
      <c r="V31" s="32">
        <v>1.2200000286102295</v>
      </c>
    </row>
    <row r="32" spans="2:22">
      <c r="B32" s="587"/>
      <c r="C32" s="27">
        <v>190</v>
      </c>
      <c r="D32" s="28">
        <v>1.0700000524520874</v>
      </c>
      <c r="E32" s="28">
        <v>1.1000000000000001</v>
      </c>
      <c r="F32" s="28">
        <v>1.1299999999999999</v>
      </c>
      <c r="G32" s="28">
        <v>1.1599999999999999</v>
      </c>
      <c r="H32" s="28">
        <v>1.2</v>
      </c>
      <c r="I32" s="28">
        <v>1.23</v>
      </c>
      <c r="J32" s="28">
        <v>1.26</v>
      </c>
      <c r="K32" s="29">
        <v>1.2999999523162842</v>
      </c>
      <c r="M32" s="587"/>
      <c r="N32" s="27">
        <v>190</v>
      </c>
      <c r="O32" s="28">
        <v>0.88999998569488525</v>
      </c>
      <c r="P32" s="28">
        <v>0.92</v>
      </c>
      <c r="Q32" s="28">
        <v>0.96</v>
      </c>
      <c r="R32" s="28">
        <v>1</v>
      </c>
      <c r="S32" s="28">
        <v>1.03</v>
      </c>
      <c r="T32" s="28">
        <v>1.07</v>
      </c>
      <c r="U32" s="28">
        <v>1.1100000000000001</v>
      </c>
      <c r="V32" s="29">
        <v>1.1499999761581421</v>
      </c>
    </row>
    <row r="33" spans="2:22" ht="15" thickBot="1">
      <c r="B33" s="588"/>
      <c r="C33" s="33">
        <v>200</v>
      </c>
      <c r="D33" s="34">
        <v>1.0299999713897705</v>
      </c>
      <c r="E33" s="34">
        <v>1.06</v>
      </c>
      <c r="F33" s="34">
        <v>1.0900000000000001</v>
      </c>
      <c r="G33" s="35">
        <v>1.1200000000000001</v>
      </c>
      <c r="H33" s="34">
        <v>1.1499999999999999</v>
      </c>
      <c r="I33" s="34">
        <v>1.18</v>
      </c>
      <c r="J33" s="34">
        <v>1.21</v>
      </c>
      <c r="K33" s="36">
        <v>1.25</v>
      </c>
      <c r="M33" s="588"/>
      <c r="N33" s="33">
        <v>200</v>
      </c>
      <c r="O33" s="34">
        <v>0.80000001192092896</v>
      </c>
      <c r="P33" s="34">
        <v>0.84</v>
      </c>
      <c r="Q33" s="34">
        <v>0.88</v>
      </c>
      <c r="R33" s="35">
        <v>0.92</v>
      </c>
      <c r="S33" s="34">
        <v>0.96</v>
      </c>
      <c r="T33" s="34">
        <v>1</v>
      </c>
      <c r="U33" s="34">
        <v>1.04</v>
      </c>
      <c r="V33" s="36">
        <v>1.0900000333786011</v>
      </c>
    </row>
    <row r="34" spans="2:22" ht="15" thickBot="1"/>
    <row r="35" spans="2:22" ht="16" thickBot="1">
      <c r="B35" s="585" t="s">
        <v>475</v>
      </c>
      <c r="C35" s="578"/>
      <c r="D35" s="577" t="s">
        <v>462</v>
      </c>
      <c r="E35" s="577"/>
      <c r="F35" s="577"/>
      <c r="G35" s="577"/>
      <c r="H35" s="577"/>
      <c r="I35" s="577"/>
      <c r="J35" s="577"/>
      <c r="K35" s="578"/>
      <c r="M35" s="585" t="s">
        <v>475</v>
      </c>
      <c r="N35" s="578"/>
      <c r="O35" s="577" t="s">
        <v>462</v>
      </c>
      <c r="P35" s="577"/>
      <c r="Q35" s="577"/>
      <c r="R35" s="577"/>
      <c r="S35" s="577"/>
      <c r="T35" s="577"/>
      <c r="U35" s="577"/>
      <c r="V35" s="578"/>
    </row>
    <row r="36" spans="2:22">
      <c r="B36" s="569" t="s">
        <v>470</v>
      </c>
      <c r="C36" s="569" t="s">
        <v>463</v>
      </c>
      <c r="D36" s="579" t="s">
        <v>464</v>
      </c>
      <c r="E36" s="580"/>
      <c r="F36" s="580"/>
      <c r="G36" s="580"/>
      <c r="H36" s="580"/>
      <c r="I36" s="580"/>
      <c r="J36" s="580"/>
      <c r="K36" s="581"/>
      <c r="M36" s="568" t="s">
        <v>470</v>
      </c>
      <c r="N36" s="569" t="s">
        <v>463</v>
      </c>
      <c r="O36" s="579" t="s">
        <v>464</v>
      </c>
      <c r="P36" s="580"/>
      <c r="Q36" s="580"/>
      <c r="R36" s="580"/>
      <c r="S36" s="580"/>
      <c r="T36" s="580"/>
      <c r="U36" s="580"/>
      <c r="V36" s="581"/>
    </row>
    <row r="37" spans="2:22" ht="15" thickBot="1">
      <c r="B37" s="569"/>
      <c r="C37" s="569"/>
      <c r="D37" s="582"/>
      <c r="E37" s="583"/>
      <c r="F37" s="583"/>
      <c r="G37" s="583"/>
      <c r="H37" s="583"/>
      <c r="I37" s="583"/>
      <c r="J37" s="583"/>
      <c r="K37" s="584"/>
      <c r="M37" s="569"/>
      <c r="N37" s="569"/>
      <c r="O37" s="582"/>
      <c r="P37" s="583"/>
      <c r="Q37" s="583"/>
      <c r="R37" s="583"/>
      <c r="S37" s="583"/>
      <c r="T37" s="583"/>
      <c r="U37" s="583"/>
      <c r="V37" s="584"/>
    </row>
    <row r="38" spans="2:22" ht="15" thickBot="1">
      <c r="B38" s="570"/>
      <c r="C38" s="569"/>
      <c r="D38" s="22">
        <v>0</v>
      </c>
      <c r="E38" s="22">
        <v>500</v>
      </c>
      <c r="F38" s="22">
        <v>1000</v>
      </c>
      <c r="G38" s="22">
        <v>1500</v>
      </c>
      <c r="H38" s="22">
        <v>2000</v>
      </c>
      <c r="I38" s="22">
        <v>2500</v>
      </c>
      <c r="J38" s="22">
        <v>3000</v>
      </c>
      <c r="K38" s="23">
        <v>3500</v>
      </c>
      <c r="M38" s="570"/>
      <c r="N38" s="570"/>
      <c r="O38" s="22">
        <v>0</v>
      </c>
      <c r="P38" s="22">
        <v>500</v>
      </c>
      <c r="Q38" s="22">
        <v>1000</v>
      </c>
      <c r="R38" s="22">
        <v>1500</v>
      </c>
      <c r="S38" s="22">
        <v>2000</v>
      </c>
      <c r="T38" s="22">
        <v>2500</v>
      </c>
      <c r="U38" s="22">
        <v>3000</v>
      </c>
      <c r="V38" s="23">
        <v>3500</v>
      </c>
    </row>
    <row r="39" spans="2:22">
      <c r="B39" s="586" t="s">
        <v>467</v>
      </c>
      <c r="C39" s="24">
        <v>100</v>
      </c>
      <c r="D39" s="206">
        <v>1.4</v>
      </c>
      <c r="E39" s="206">
        <v>1.4</v>
      </c>
      <c r="F39" s="206">
        <v>1.4</v>
      </c>
      <c r="G39" s="206">
        <v>1.4</v>
      </c>
      <c r="H39" s="206">
        <v>1.4</v>
      </c>
      <c r="I39" s="206">
        <v>1.4</v>
      </c>
      <c r="J39" s="206">
        <v>1.4</v>
      </c>
      <c r="K39" s="207">
        <v>1.4</v>
      </c>
      <c r="M39" s="586" t="s">
        <v>468</v>
      </c>
      <c r="N39" s="24">
        <v>100</v>
      </c>
      <c r="O39" s="25">
        <v>1.67</v>
      </c>
      <c r="P39" s="25">
        <v>1.67</v>
      </c>
      <c r="Q39" s="25">
        <v>1.67</v>
      </c>
      <c r="R39" s="25">
        <v>1.67</v>
      </c>
      <c r="S39" s="25">
        <v>1.67</v>
      </c>
      <c r="T39" s="25">
        <v>1.67</v>
      </c>
      <c r="U39" s="25">
        <v>1.67</v>
      </c>
      <c r="V39" s="26">
        <v>1.67</v>
      </c>
    </row>
    <row r="40" spans="2:22">
      <c r="B40" s="587"/>
      <c r="C40" s="27">
        <v>110</v>
      </c>
      <c r="D40" s="208">
        <v>1.4</v>
      </c>
      <c r="E40" s="208">
        <v>1.4</v>
      </c>
      <c r="F40" s="208">
        <v>1.4</v>
      </c>
      <c r="G40" s="208">
        <v>1.4</v>
      </c>
      <c r="H40" s="208">
        <v>1.4</v>
      </c>
      <c r="I40" s="208">
        <v>1.4</v>
      </c>
      <c r="J40" s="208">
        <v>1.4</v>
      </c>
      <c r="K40" s="209">
        <v>1.4</v>
      </c>
      <c r="M40" s="587"/>
      <c r="N40" s="27">
        <v>110</v>
      </c>
      <c r="O40" s="28">
        <v>1.67</v>
      </c>
      <c r="P40" s="28">
        <v>1.67</v>
      </c>
      <c r="Q40" s="28">
        <v>1.67</v>
      </c>
      <c r="R40" s="28">
        <v>1.67</v>
      </c>
      <c r="S40" s="28">
        <v>1.67</v>
      </c>
      <c r="T40" s="28">
        <v>1.67</v>
      </c>
      <c r="U40" s="28">
        <v>1.67</v>
      </c>
      <c r="V40" s="29">
        <v>1.67</v>
      </c>
    </row>
    <row r="41" spans="2:22">
      <c r="B41" s="587"/>
      <c r="C41" s="30">
        <v>120</v>
      </c>
      <c r="D41" s="208">
        <v>1.4</v>
      </c>
      <c r="E41" s="208">
        <v>1.4</v>
      </c>
      <c r="F41" s="208">
        <v>1.4</v>
      </c>
      <c r="G41" s="208">
        <v>1.4</v>
      </c>
      <c r="H41" s="208">
        <v>1.4</v>
      </c>
      <c r="I41" s="208">
        <v>1.4</v>
      </c>
      <c r="J41" s="208">
        <v>1.4</v>
      </c>
      <c r="K41" s="209">
        <v>1.4</v>
      </c>
      <c r="M41" s="587"/>
      <c r="N41" s="30">
        <v>120</v>
      </c>
      <c r="O41" s="31">
        <v>1.6299999952316284</v>
      </c>
      <c r="P41" s="31">
        <v>1.6599999666213989</v>
      </c>
      <c r="Q41" s="31">
        <v>1.6699999570846558</v>
      </c>
      <c r="R41" s="31">
        <v>1.6699999570846558</v>
      </c>
      <c r="S41" s="31">
        <v>1.6699999570846558</v>
      </c>
      <c r="T41" s="31">
        <v>1.6699999570846558</v>
      </c>
      <c r="U41" s="31">
        <v>1.6699999570846558</v>
      </c>
      <c r="V41" s="32">
        <v>1.67</v>
      </c>
    </row>
    <row r="42" spans="2:22">
      <c r="B42" s="587"/>
      <c r="C42" s="27">
        <v>130</v>
      </c>
      <c r="D42" s="208">
        <v>1.4</v>
      </c>
      <c r="E42" s="208">
        <v>1.4</v>
      </c>
      <c r="F42" s="208">
        <v>1.4</v>
      </c>
      <c r="G42" s="208">
        <v>1.4</v>
      </c>
      <c r="H42" s="208">
        <v>1.4</v>
      </c>
      <c r="I42" s="208">
        <v>1.4</v>
      </c>
      <c r="J42" s="208">
        <v>1.4</v>
      </c>
      <c r="K42" s="209">
        <v>1.4</v>
      </c>
      <c r="M42" s="587"/>
      <c r="N42" s="27">
        <v>130</v>
      </c>
      <c r="O42" s="28">
        <v>1.5199999809265137</v>
      </c>
      <c r="P42" s="28">
        <v>1.5499999523162842</v>
      </c>
      <c r="Q42" s="28">
        <v>1.5900000333786011</v>
      </c>
      <c r="R42" s="28">
        <v>1.6299999952316284</v>
      </c>
      <c r="S42" s="28">
        <v>1.6699999570846558</v>
      </c>
      <c r="T42" s="28">
        <v>1.6699999570846558</v>
      </c>
      <c r="U42" s="28">
        <v>1.6699999570846558</v>
      </c>
      <c r="V42" s="29">
        <v>1.67</v>
      </c>
    </row>
    <row r="43" spans="2:22">
      <c r="B43" s="587"/>
      <c r="C43" s="30">
        <v>140</v>
      </c>
      <c r="D43" s="208">
        <v>1.4</v>
      </c>
      <c r="E43" s="208">
        <v>1.4</v>
      </c>
      <c r="F43" s="208">
        <v>1.4</v>
      </c>
      <c r="G43" s="208">
        <v>1.4</v>
      </c>
      <c r="H43" s="208">
        <v>1.4</v>
      </c>
      <c r="I43" s="208">
        <v>1.4</v>
      </c>
      <c r="J43" s="208">
        <v>1.4</v>
      </c>
      <c r="K43" s="209">
        <v>1.4</v>
      </c>
      <c r="M43" s="587"/>
      <c r="N43" s="30">
        <v>140</v>
      </c>
      <c r="O43" s="31">
        <v>1.4199999570846558</v>
      </c>
      <c r="P43" s="31">
        <v>1.4600000381469727</v>
      </c>
      <c r="Q43" s="31">
        <v>1.5</v>
      </c>
      <c r="R43" s="31">
        <v>1.5399999618530273</v>
      </c>
      <c r="S43" s="31">
        <v>1.5800000429153442</v>
      </c>
      <c r="T43" s="31">
        <v>1.6200000047683716</v>
      </c>
      <c r="U43" s="31">
        <v>1.6599999666213989</v>
      </c>
      <c r="V43" s="32">
        <v>1.67</v>
      </c>
    </row>
    <row r="44" spans="2:22">
      <c r="B44" s="587"/>
      <c r="C44" s="27">
        <v>150</v>
      </c>
      <c r="D44" s="208">
        <v>1.4</v>
      </c>
      <c r="E44" s="208">
        <v>1.4</v>
      </c>
      <c r="F44" s="208">
        <v>1.4</v>
      </c>
      <c r="G44" s="208">
        <v>1.4</v>
      </c>
      <c r="H44" s="208">
        <v>1.4</v>
      </c>
      <c r="I44" s="208">
        <v>1.4</v>
      </c>
      <c r="J44" s="208">
        <v>1.4</v>
      </c>
      <c r="K44" s="209">
        <v>1.4</v>
      </c>
      <c r="M44" s="587"/>
      <c r="N44" s="27">
        <v>150</v>
      </c>
      <c r="O44" s="28">
        <v>1.3400000333786011</v>
      </c>
      <c r="P44" s="28">
        <v>1.37</v>
      </c>
      <c r="Q44" s="28">
        <v>1.41</v>
      </c>
      <c r="R44" s="28">
        <v>1.45</v>
      </c>
      <c r="S44" s="28">
        <v>1.49</v>
      </c>
      <c r="T44" s="28">
        <v>1.53</v>
      </c>
      <c r="U44" s="28">
        <v>1.57</v>
      </c>
      <c r="V44" s="29">
        <v>1.6100000143051147</v>
      </c>
    </row>
    <row r="45" spans="2:22">
      <c r="B45" s="587"/>
      <c r="C45" s="30">
        <v>160</v>
      </c>
      <c r="D45" s="208">
        <v>1.4</v>
      </c>
      <c r="E45" s="208">
        <v>1.4</v>
      </c>
      <c r="F45" s="208">
        <v>1.4</v>
      </c>
      <c r="G45" s="208">
        <v>1.4</v>
      </c>
      <c r="H45" s="208">
        <v>1.4</v>
      </c>
      <c r="I45" s="208">
        <v>1.4</v>
      </c>
      <c r="J45" s="208">
        <v>1.4</v>
      </c>
      <c r="K45" s="209">
        <v>1.4</v>
      </c>
      <c r="M45" s="587"/>
      <c r="N45" s="30">
        <v>160</v>
      </c>
      <c r="O45" s="31">
        <v>1.2599999904632568</v>
      </c>
      <c r="P45" s="31">
        <v>1.29</v>
      </c>
      <c r="Q45" s="31">
        <v>1.33</v>
      </c>
      <c r="R45" s="31">
        <v>1.37</v>
      </c>
      <c r="S45" s="31">
        <v>1.4</v>
      </c>
      <c r="T45" s="31">
        <v>1.44</v>
      </c>
      <c r="U45" s="31">
        <v>1.48</v>
      </c>
      <c r="V45" s="32">
        <v>1.5199999809265137</v>
      </c>
    </row>
    <row r="46" spans="2:22">
      <c r="B46" s="587"/>
      <c r="C46" s="27">
        <v>170</v>
      </c>
      <c r="D46" s="28">
        <v>1.3300000429153442</v>
      </c>
      <c r="E46" s="28">
        <v>1.3600000143051147</v>
      </c>
      <c r="F46" s="28">
        <v>1.3999999761581421</v>
      </c>
      <c r="G46" s="28">
        <v>1.3999999761581421</v>
      </c>
      <c r="H46" s="28">
        <v>1.3999999761581421</v>
      </c>
      <c r="I46" s="28">
        <v>1.3999999761581421</v>
      </c>
      <c r="J46" s="28">
        <v>1.3999999761581421</v>
      </c>
      <c r="K46" s="29">
        <v>1.4</v>
      </c>
      <c r="M46" s="587"/>
      <c r="N46" s="27">
        <v>170</v>
      </c>
      <c r="O46" s="28">
        <v>1.1799999475479126</v>
      </c>
      <c r="P46" s="28">
        <v>1.21</v>
      </c>
      <c r="Q46" s="28">
        <v>1.25</v>
      </c>
      <c r="R46" s="28">
        <v>1.29</v>
      </c>
      <c r="S46" s="28">
        <v>1.33</v>
      </c>
      <c r="T46" s="28">
        <v>1.37</v>
      </c>
      <c r="U46" s="28">
        <v>1.41</v>
      </c>
      <c r="V46" s="29">
        <v>1.4500000476837158</v>
      </c>
    </row>
    <row r="47" spans="2:22">
      <c r="B47" s="587"/>
      <c r="C47" s="30">
        <v>180</v>
      </c>
      <c r="D47" s="31">
        <v>1.2699999809265137</v>
      </c>
      <c r="E47" s="31">
        <v>1.2999999523162842</v>
      </c>
      <c r="F47" s="31">
        <v>1.3300000429153442</v>
      </c>
      <c r="G47" s="31">
        <v>1.3700000047683716</v>
      </c>
      <c r="H47" s="31">
        <v>1.3999999761581421</v>
      </c>
      <c r="I47" s="31">
        <v>1.3999999761581421</v>
      </c>
      <c r="J47" s="31">
        <v>1.3999999761581421</v>
      </c>
      <c r="K47" s="32">
        <v>1.4</v>
      </c>
      <c r="M47" s="587"/>
      <c r="N47" s="30">
        <v>180</v>
      </c>
      <c r="O47" s="31">
        <v>1.1100000143051147</v>
      </c>
      <c r="P47" s="31">
        <v>1.1399999999999999</v>
      </c>
      <c r="Q47" s="31">
        <v>1.18</v>
      </c>
      <c r="R47" s="31">
        <v>1.22</v>
      </c>
      <c r="S47" s="31">
        <v>1.26</v>
      </c>
      <c r="T47" s="31">
        <v>1.3</v>
      </c>
      <c r="U47" s="31">
        <v>1.34</v>
      </c>
      <c r="V47" s="32">
        <v>1.3799999952316284</v>
      </c>
    </row>
    <row r="48" spans="2:22">
      <c r="B48" s="587"/>
      <c r="C48" s="27">
        <v>190</v>
      </c>
      <c r="D48" s="28">
        <v>1.2100000381469727</v>
      </c>
      <c r="E48" s="28">
        <v>1.2400000095367432</v>
      </c>
      <c r="F48" s="28">
        <v>1.2799999713897705</v>
      </c>
      <c r="G48" s="28">
        <v>1.309999942779541</v>
      </c>
      <c r="H48" s="28">
        <v>1.3500000238418579</v>
      </c>
      <c r="I48" s="28">
        <v>1.3799999952316284</v>
      </c>
      <c r="J48" s="28">
        <v>1.3999999761581421</v>
      </c>
      <c r="K48" s="29">
        <v>1.4</v>
      </c>
      <c r="M48" s="587"/>
      <c r="N48" s="27">
        <v>190</v>
      </c>
      <c r="O48" s="28">
        <v>1.0499999523162842</v>
      </c>
      <c r="P48" s="28">
        <v>1.08</v>
      </c>
      <c r="Q48" s="28">
        <v>1.1200000000000001</v>
      </c>
      <c r="R48" s="28">
        <v>1.1599999999999999</v>
      </c>
      <c r="S48" s="28">
        <v>1.19</v>
      </c>
      <c r="T48" s="28">
        <v>1.23</v>
      </c>
      <c r="U48" s="28">
        <v>1.27</v>
      </c>
      <c r="V48" s="29">
        <v>1.309999942779541</v>
      </c>
    </row>
    <row r="49" spans="2:22" ht="15" thickBot="1">
      <c r="B49" s="588"/>
      <c r="C49" s="33">
        <v>200</v>
      </c>
      <c r="D49" s="34">
        <v>1.1499999761581421</v>
      </c>
      <c r="E49" s="34">
        <v>1.18</v>
      </c>
      <c r="F49" s="34">
        <v>1.21</v>
      </c>
      <c r="G49" s="35">
        <v>1.25</v>
      </c>
      <c r="H49" s="34">
        <v>1.28</v>
      </c>
      <c r="I49" s="34">
        <v>1.32</v>
      </c>
      <c r="J49" s="34">
        <v>1.35</v>
      </c>
      <c r="K49" s="36">
        <v>1.3899999856948853</v>
      </c>
      <c r="M49" s="588"/>
      <c r="N49" s="33">
        <v>200</v>
      </c>
      <c r="O49" s="34">
        <v>1</v>
      </c>
      <c r="P49" s="34">
        <v>1.03</v>
      </c>
      <c r="Q49" s="34">
        <v>1.07</v>
      </c>
      <c r="R49" s="35">
        <v>1.1000000000000001</v>
      </c>
      <c r="S49" s="34">
        <v>1.1399999999999999</v>
      </c>
      <c r="T49" s="34">
        <v>1.17</v>
      </c>
      <c r="U49" s="34">
        <v>1.21</v>
      </c>
      <c r="V49" s="36">
        <v>1.25</v>
      </c>
    </row>
    <row r="50" spans="2:22" ht="15" thickBot="1"/>
    <row r="51" spans="2:22" ht="16" thickBot="1">
      <c r="B51" s="585" t="s">
        <v>475</v>
      </c>
      <c r="C51" s="578"/>
      <c r="D51" s="577" t="s">
        <v>462</v>
      </c>
      <c r="E51" s="577"/>
      <c r="F51" s="577"/>
      <c r="G51" s="577"/>
      <c r="H51" s="577"/>
      <c r="I51" s="577"/>
      <c r="J51" s="577"/>
      <c r="K51" s="578"/>
      <c r="M51" s="585" t="s">
        <v>475</v>
      </c>
      <c r="N51" s="578"/>
      <c r="O51" s="577" t="s">
        <v>462</v>
      </c>
      <c r="P51" s="577"/>
      <c r="Q51" s="577"/>
      <c r="R51" s="577"/>
      <c r="S51" s="577"/>
      <c r="T51" s="577"/>
      <c r="U51" s="577"/>
      <c r="V51" s="578"/>
    </row>
    <row r="52" spans="2:22">
      <c r="B52" s="569" t="s">
        <v>471</v>
      </c>
      <c r="C52" s="569" t="s">
        <v>463</v>
      </c>
      <c r="D52" s="579" t="s">
        <v>464</v>
      </c>
      <c r="E52" s="580"/>
      <c r="F52" s="580"/>
      <c r="G52" s="580"/>
      <c r="H52" s="580"/>
      <c r="I52" s="580"/>
      <c r="J52" s="580"/>
      <c r="K52" s="581"/>
      <c r="M52" s="568" t="s">
        <v>471</v>
      </c>
      <c r="N52" s="569" t="s">
        <v>463</v>
      </c>
      <c r="O52" s="579" t="s">
        <v>464</v>
      </c>
      <c r="P52" s="580"/>
      <c r="Q52" s="580"/>
      <c r="R52" s="580"/>
      <c r="S52" s="580"/>
      <c r="T52" s="580"/>
      <c r="U52" s="580"/>
      <c r="V52" s="581"/>
    </row>
    <row r="53" spans="2:22" ht="15" thickBot="1">
      <c r="B53" s="569"/>
      <c r="C53" s="569"/>
      <c r="D53" s="582"/>
      <c r="E53" s="583"/>
      <c r="F53" s="583"/>
      <c r="G53" s="583"/>
      <c r="H53" s="583"/>
      <c r="I53" s="583"/>
      <c r="J53" s="583"/>
      <c r="K53" s="584"/>
      <c r="M53" s="569"/>
      <c r="N53" s="569"/>
      <c r="O53" s="582"/>
      <c r="P53" s="583"/>
      <c r="Q53" s="583"/>
      <c r="R53" s="583"/>
      <c r="S53" s="583"/>
      <c r="T53" s="583"/>
      <c r="U53" s="583"/>
      <c r="V53" s="584"/>
    </row>
    <row r="54" spans="2:22" ht="15" thickBot="1">
      <c r="B54" s="570"/>
      <c r="C54" s="569"/>
      <c r="D54" s="22">
        <v>0</v>
      </c>
      <c r="E54" s="22">
        <v>500</v>
      </c>
      <c r="F54" s="22">
        <v>1000</v>
      </c>
      <c r="G54" s="22">
        <v>1500</v>
      </c>
      <c r="H54" s="22">
        <v>2000</v>
      </c>
      <c r="I54" s="22">
        <v>2500</v>
      </c>
      <c r="J54" s="22">
        <v>3000</v>
      </c>
      <c r="K54" s="23">
        <v>3500</v>
      </c>
      <c r="M54" s="570"/>
      <c r="N54" s="570"/>
      <c r="O54" s="22">
        <v>0</v>
      </c>
      <c r="P54" s="22">
        <v>500</v>
      </c>
      <c r="Q54" s="22">
        <v>1000</v>
      </c>
      <c r="R54" s="22">
        <v>1500</v>
      </c>
      <c r="S54" s="22">
        <v>2000</v>
      </c>
      <c r="T54" s="22">
        <v>2500</v>
      </c>
      <c r="U54" s="22">
        <v>3000</v>
      </c>
      <c r="V54" s="23">
        <v>3500</v>
      </c>
    </row>
    <row r="55" spans="2:22">
      <c r="B55" s="586" t="s">
        <v>467</v>
      </c>
      <c r="C55" s="24">
        <v>100</v>
      </c>
      <c r="D55" s="206">
        <v>1.4</v>
      </c>
      <c r="E55" s="206">
        <v>1.4</v>
      </c>
      <c r="F55" s="206">
        <v>1.4</v>
      </c>
      <c r="G55" s="206">
        <v>1.4</v>
      </c>
      <c r="H55" s="206">
        <v>1.4</v>
      </c>
      <c r="I55" s="206">
        <v>1.4</v>
      </c>
      <c r="J55" s="206">
        <v>1.4</v>
      </c>
      <c r="K55" s="207">
        <v>1.4</v>
      </c>
      <c r="M55" s="586" t="s">
        <v>468</v>
      </c>
      <c r="N55" s="24">
        <v>100</v>
      </c>
      <c r="O55" s="25">
        <v>1.67</v>
      </c>
      <c r="P55" s="25">
        <v>1.67</v>
      </c>
      <c r="Q55" s="25">
        <v>1.67</v>
      </c>
      <c r="R55" s="25">
        <v>1.67</v>
      </c>
      <c r="S55" s="25">
        <v>1.67</v>
      </c>
      <c r="T55" s="25">
        <v>1.67</v>
      </c>
      <c r="U55" s="25">
        <v>1.67</v>
      </c>
      <c r="V55" s="26">
        <v>1.67</v>
      </c>
    </row>
    <row r="56" spans="2:22">
      <c r="B56" s="587"/>
      <c r="C56" s="27">
        <v>110</v>
      </c>
      <c r="D56" s="208">
        <v>1.4</v>
      </c>
      <c r="E56" s="208">
        <v>1.4</v>
      </c>
      <c r="F56" s="208">
        <v>1.4</v>
      </c>
      <c r="G56" s="208">
        <v>1.4</v>
      </c>
      <c r="H56" s="208">
        <v>1.4</v>
      </c>
      <c r="I56" s="208">
        <v>1.4</v>
      </c>
      <c r="J56" s="208">
        <v>1.4</v>
      </c>
      <c r="K56" s="209">
        <v>1.4</v>
      </c>
      <c r="M56" s="587"/>
      <c r="N56" s="27">
        <v>110</v>
      </c>
      <c r="O56" s="28">
        <v>1.67</v>
      </c>
      <c r="P56" s="28">
        <v>1.67</v>
      </c>
      <c r="Q56" s="28">
        <v>1.67</v>
      </c>
      <c r="R56" s="28">
        <v>1.67</v>
      </c>
      <c r="S56" s="28">
        <v>1.67</v>
      </c>
      <c r="T56" s="28">
        <v>1.67</v>
      </c>
      <c r="U56" s="28">
        <v>1.67</v>
      </c>
      <c r="V56" s="29">
        <v>1.67</v>
      </c>
    </row>
    <row r="57" spans="2:22">
      <c r="B57" s="587"/>
      <c r="C57" s="30">
        <v>120</v>
      </c>
      <c r="D57" s="208">
        <v>1.4</v>
      </c>
      <c r="E57" s="208">
        <v>1.4</v>
      </c>
      <c r="F57" s="208">
        <v>1.4</v>
      </c>
      <c r="G57" s="208">
        <v>1.4</v>
      </c>
      <c r="H57" s="208">
        <v>1.4</v>
      </c>
      <c r="I57" s="208">
        <v>1.4</v>
      </c>
      <c r="J57" s="208">
        <v>1.4</v>
      </c>
      <c r="K57" s="209">
        <v>1.4</v>
      </c>
      <c r="M57" s="587"/>
      <c r="N57" s="30">
        <v>120</v>
      </c>
      <c r="O57" s="31">
        <v>1.67</v>
      </c>
      <c r="P57" s="31">
        <v>1.67</v>
      </c>
      <c r="Q57" s="31">
        <v>1.67</v>
      </c>
      <c r="R57" s="31">
        <v>1.67</v>
      </c>
      <c r="S57" s="31">
        <v>1.67</v>
      </c>
      <c r="T57" s="31">
        <v>1.67</v>
      </c>
      <c r="U57" s="31">
        <v>1.67</v>
      </c>
      <c r="V57" s="32">
        <v>1.67</v>
      </c>
    </row>
    <row r="58" spans="2:22">
      <c r="B58" s="587"/>
      <c r="C58" s="27">
        <v>130</v>
      </c>
      <c r="D58" s="208">
        <v>1.4</v>
      </c>
      <c r="E58" s="208">
        <v>1.4</v>
      </c>
      <c r="F58" s="208">
        <v>1.4</v>
      </c>
      <c r="G58" s="208">
        <v>1.4</v>
      </c>
      <c r="H58" s="208">
        <v>1.4</v>
      </c>
      <c r="I58" s="208">
        <v>1.4</v>
      </c>
      <c r="J58" s="208">
        <v>1.4</v>
      </c>
      <c r="K58" s="209">
        <v>1.4</v>
      </c>
      <c r="M58" s="587"/>
      <c r="N58" s="27">
        <v>130</v>
      </c>
      <c r="O58" s="28">
        <v>1.6200000047683716</v>
      </c>
      <c r="P58" s="28">
        <v>1.6599999666213989</v>
      </c>
      <c r="Q58" s="28">
        <v>1.6699999570846558</v>
      </c>
      <c r="R58" s="28">
        <v>1.6699999570846558</v>
      </c>
      <c r="S58" s="28">
        <v>1.6699999570846558</v>
      </c>
      <c r="T58" s="28">
        <v>1.6699999570846558</v>
      </c>
      <c r="U58" s="28">
        <v>1.6699999570846558</v>
      </c>
      <c r="V58" s="29">
        <v>1.67</v>
      </c>
    </row>
    <row r="59" spans="2:22">
      <c r="B59" s="587"/>
      <c r="C59" s="30">
        <v>140</v>
      </c>
      <c r="D59" s="208">
        <v>1.4</v>
      </c>
      <c r="E59" s="208">
        <v>1.4</v>
      </c>
      <c r="F59" s="208">
        <v>1.4</v>
      </c>
      <c r="G59" s="208">
        <v>1.4</v>
      </c>
      <c r="H59" s="208">
        <v>1.4</v>
      </c>
      <c r="I59" s="208">
        <v>1.4</v>
      </c>
      <c r="J59" s="208">
        <v>1.4</v>
      </c>
      <c r="K59" s="209">
        <v>1.4</v>
      </c>
      <c r="M59" s="587"/>
      <c r="N59" s="30">
        <v>140</v>
      </c>
      <c r="O59" s="31">
        <v>1.5199999809265137</v>
      </c>
      <c r="P59" s="31">
        <v>1.5499999523162842</v>
      </c>
      <c r="Q59" s="31">
        <v>1.5900000333786011</v>
      </c>
      <c r="R59" s="31">
        <v>1.6299999952316284</v>
      </c>
      <c r="S59" s="31">
        <v>1.6699999570846558</v>
      </c>
      <c r="T59" s="31">
        <v>1.6699999570846558</v>
      </c>
      <c r="U59" s="31">
        <v>1.6699999570846558</v>
      </c>
      <c r="V59" s="32">
        <v>1.67</v>
      </c>
    </row>
    <row r="60" spans="2:22">
      <c r="B60" s="587"/>
      <c r="C60" s="27">
        <v>150</v>
      </c>
      <c r="D60" s="208">
        <v>1.4</v>
      </c>
      <c r="E60" s="208">
        <v>1.4</v>
      </c>
      <c r="F60" s="208">
        <v>1.4</v>
      </c>
      <c r="G60" s="208">
        <v>1.4</v>
      </c>
      <c r="H60" s="208">
        <v>1.4</v>
      </c>
      <c r="I60" s="208">
        <v>1.4</v>
      </c>
      <c r="J60" s="208">
        <v>1.4</v>
      </c>
      <c r="K60" s="209">
        <v>1.4</v>
      </c>
      <c r="M60" s="587"/>
      <c r="N60" s="27">
        <v>150</v>
      </c>
      <c r="O60" s="28">
        <v>1.4299999475479126</v>
      </c>
      <c r="P60" s="28">
        <v>1.4700000286102295</v>
      </c>
      <c r="Q60" s="28">
        <v>1.5099999904632568</v>
      </c>
      <c r="R60" s="28">
        <v>1.5499999523162842</v>
      </c>
      <c r="S60" s="28">
        <v>1.5900000333786011</v>
      </c>
      <c r="T60" s="28">
        <v>1.6299999952316284</v>
      </c>
      <c r="U60" s="28">
        <v>1.6699999570846558</v>
      </c>
      <c r="V60" s="29">
        <v>1.67</v>
      </c>
    </row>
    <row r="61" spans="2:22">
      <c r="B61" s="587"/>
      <c r="C61" s="30">
        <v>160</v>
      </c>
      <c r="D61" s="208">
        <v>1.4</v>
      </c>
      <c r="E61" s="208">
        <v>1.4</v>
      </c>
      <c r="F61" s="208">
        <v>1.4</v>
      </c>
      <c r="G61" s="208">
        <v>1.4</v>
      </c>
      <c r="H61" s="208">
        <v>1.4</v>
      </c>
      <c r="I61" s="208">
        <v>1.4</v>
      </c>
      <c r="J61" s="208">
        <v>1.4</v>
      </c>
      <c r="K61" s="209">
        <v>1.4</v>
      </c>
      <c r="M61" s="587"/>
      <c r="N61" s="30">
        <v>160</v>
      </c>
      <c r="O61" s="31">
        <v>1.3500000238418579</v>
      </c>
      <c r="P61" s="31">
        <v>1.39</v>
      </c>
      <c r="Q61" s="31">
        <v>1.43</v>
      </c>
      <c r="R61" s="31">
        <v>1.47</v>
      </c>
      <c r="S61" s="31">
        <v>1.51</v>
      </c>
      <c r="T61" s="31">
        <v>1.55</v>
      </c>
      <c r="U61" s="31">
        <v>1.58</v>
      </c>
      <c r="V61" s="32">
        <v>1.6299999952316284</v>
      </c>
    </row>
    <row r="62" spans="2:22">
      <c r="B62" s="587"/>
      <c r="C62" s="27">
        <v>170</v>
      </c>
      <c r="D62" s="208">
        <v>1.4</v>
      </c>
      <c r="E62" s="208">
        <v>1.4</v>
      </c>
      <c r="F62" s="208">
        <v>1.4</v>
      </c>
      <c r="G62" s="208">
        <v>1.4</v>
      </c>
      <c r="H62" s="208">
        <v>1.4</v>
      </c>
      <c r="I62" s="208">
        <v>1.4</v>
      </c>
      <c r="J62" s="208">
        <v>1.4</v>
      </c>
      <c r="K62" s="209">
        <v>1.4</v>
      </c>
      <c r="M62" s="587"/>
      <c r="N62" s="27">
        <v>170</v>
      </c>
      <c r="O62" s="28">
        <v>1.2799999713897705</v>
      </c>
      <c r="P62" s="28">
        <v>1.31</v>
      </c>
      <c r="Q62" s="28">
        <v>1.35</v>
      </c>
      <c r="R62" s="28">
        <v>1.39</v>
      </c>
      <c r="S62" s="28">
        <v>1.43</v>
      </c>
      <c r="T62" s="28">
        <v>1.47</v>
      </c>
      <c r="U62" s="28">
        <v>1.51</v>
      </c>
      <c r="V62" s="29">
        <v>1.5499999523162842</v>
      </c>
    </row>
    <row r="63" spans="2:22">
      <c r="B63" s="587"/>
      <c r="C63" s="30">
        <v>180</v>
      </c>
      <c r="D63" s="31">
        <v>1.3600000143051147</v>
      </c>
      <c r="E63" s="31">
        <v>1.3999999761581421</v>
      </c>
      <c r="F63" s="31">
        <v>1.3999999761581421</v>
      </c>
      <c r="G63" s="31">
        <v>1.3999999761581421</v>
      </c>
      <c r="H63" s="31">
        <v>1.3999999761581421</v>
      </c>
      <c r="I63" s="31">
        <v>1.3999999761581421</v>
      </c>
      <c r="J63" s="31">
        <v>1.3999999761581421</v>
      </c>
      <c r="K63" s="32">
        <v>1.4</v>
      </c>
      <c r="M63" s="587"/>
      <c r="N63" s="30">
        <v>180</v>
      </c>
      <c r="O63" s="31">
        <v>1.2100000381469727</v>
      </c>
      <c r="P63" s="31">
        <v>1.24</v>
      </c>
      <c r="Q63" s="31">
        <v>1.28</v>
      </c>
      <c r="R63" s="31">
        <v>1.32</v>
      </c>
      <c r="S63" s="31">
        <v>1.35</v>
      </c>
      <c r="T63" s="31">
        <v>1.39</v>
      </c>
      <c r="U63" s="31">
        <v>1.43</v>
      </c>
      <c r="V63" s="32">
        <v>1.4700000286102295</v>
      </c>
    </row>
    <row r="64" spans="2:22">
      <c r="B64" s="587"/>
      <c r="C64" s="27">
        <v>190</v>
      </c>
      <c r="D64" s="28">
        <v>1.2999999523162842</v>
      </c>
      <c r="E64" s="28">
        <v>1.3300000429153442</v>
      </c>
      <c r="F64" s="28">
        <v>1.3600000143051147</v>
      </c>
      <c r="G64" s="28">
        <v>1.3999999761581421</v>
      </c>
      <c r="H64" s="28">
        <v>1.3999999761581421</v>
      </c>
      <c r="I64" s="28">
        <v>1.3999999761581421</v>
      </c>
      <c r="J64" s="28">
        <v>1.3999999761581421</v>
      </c>
      <c r="K64" s="29">
        <v>1.4</v>
      </c>
      <c r="M64" s="587"/>
      <c r="N64" s="27">
        <v>190</v>
      </c>
      <c r="O64" s="28">
        <v>1.1399999856948853</v>
      </c>
      <c r="P64" s="28">
        <v>1.17</v>
      </c>
      <c r="Q64" s="28">
        <v>1.21</v>
      </c>
      <c r="R64" s="28">
        <v>1.25</v>
      </c>
      <c r="S64" s="28">
        <v>1.29</v>
      </c>
      <c r="T64" s="28">
        <v>1.33</v>
      </c>
      <c r="U64" s="28">
        <v>1.37</v>
      </c>
      <c r="V64" s="29">
        <v>1.4099999666213989</v>
      </c>
    </row>
    <row r="65" spans="2:22" ht="15" thickBot="1">
      <c r="B65" s="588"/>
      <c r="C65" s="33">
        <v>200</v>
      </c>
      <c r="D65" s="34">
        <v>1.2400000095367432</v>
      </c>
      <c r="E65" s="34">
        <v>1.2599999904632568</v>
      </c>
      <c r="F65" s="34">
        <v>1.2999999523162842</v>
      </c>
      <c r="G65" s="35">
        <v>1.3400000333786011</v>
      </c>
      <c r="H65" s="34">
        <v>1.3799999952316284</v>
      </c>
      <c r="I65" s="34">
        <v>1.3999999761581421</v>
      </c>
      <c r="J65" s="34">
        <v>1.3999999761581421</v>
      </c>
      <c r="K65" s="36">
        <v>1.4</v>
      </c>
      <c r="M65" s="588"/>
      <c r="N65" s="33">
        <v>200</v>
      </c>
      <c r="O65" s="34">
        <v>1.0800000429153442</v>
      </c>
      <c r="P65" s="34">
        <v>1.1100000000000001</v>
      </c>
      <c r="Q65" s="34">
        <v>1.1499999999999999</v>
      </c>
      <c r="R65" s="35">
        <v>1.19</v>
      </c>
      <c r="S65" s="34">
        <v>1.23</v>
      </c>
      <c r="T65" s="34">
        <v>1.27</v>
      </c>
      <c r="U65" s="34">
        <v>1.31</v>
      </c>
      <c r="V65" s="36">
        <v>1.3500000238418579</v>
      </c>
    </row>
    <row r="66" spans="2:22" ht="15" thickBot="1"/>
    <row r="67" spans="2:22" ht="16" thickBot="1">
      <c r="B67" s="585" t="s">
        <v>475</v>
      </c>
      <c r="C67" s="578"/>
      <c r="D67" s="577" t="s">
        <v>462</v>
      </c>
      <c r="E67" s="577"/>
      <c r="F67" s="577"/>
      <c r="G67" s="577"/>
      <c r="H67" s="577"/>
      <c r="I67" s="577"/>
      <c r="J67" s="577"/>
      <c r="K67" s="578"/>
      <c r="M67" s="585" t="s">
        <v>475</v>
      </c>
      <c r="N67" s="578"/>
      <c r="O67" s="577" t="s">
        <v>462</v>
      </c>
      <c r="P67" s="577"/>
      <c r="Q67" s="577"/>
      <c r="R67" s="577"/>
      <c r="S67" s="577"/>
      <c r="T67" s="577"/>
      <c r="U67" s="577"/>
      <c r="V67" s="578"/>
    </row>
    <row r="68" spans="2:22">
      <c r="B68" s="568" t="s">
        <v>466</v>
      </c>
      <c r="C68" s="569" t="s">
        <v>463</v>
      </c>
      <c r="D68" s="579" t="s">
        <v>464</v>
      </c>
      <c r="E68" s="580"/>
      <c r="F68" s="580"/>
      <c r="G68" s="580"/>
      <c r="H68" s="580"/>
      <c r="I68" s="580"/>
      <c r="J68" s="580"/>
      <c r="K68" s="581"/>
      <c r="M68" s="568" t="s">
        <v>466</v>
      </c>
      <c r="N68" s="569" t="s">
        <v>463</v>
      </c>
      <c r="O68" s="579" t="s">
        <v>464</v>
      </c>
      <c r="P68" s="580"/>
      <c r="Q68" s="580"/>
      <c r="R68" s="580"/>
      <c r="S68" s="580"/>
      <c r="T68" s="580"/>
      <c r="U68" s="580"/>
      <c r="V68" s="581"/>
    </row>
    <row r="69" spans="2:22" ht="15" thickBot="1">
      <c r="B69" s="569"/>
      <c r="C69" s="569"/>
      <c r="D69" s="582"/>
      <c r="E69" s="583"/>
      <c r="F69" s="583"/>
      <c r="G69" s="583"/>
      <c r="H69" s="583"/>
      <c r="I69" s="583"/>
      <c r="J69" s="583"/>
      <c r="K69" s="584"/>
      <c r="M69" s="569"/>
      <c r="N69" s="569"/>
      <c r="O69" s="582"/>
      <c r="P69" s="583"/>
      <c r="Q69" s="583"/>
      <c r="R69" s="583"/>
      <c r="S69" s="583"/>
      <c r="T69" s="583"/>
      <c r="U69" s="583"/>
      <c r="V69" s="584"/>
    </row>
    <row r="70" spans="2:22" ht="15" thickBot="1">
      <c r="B70" s="570"/>
      <c r="C70" s="570"/>
      <c r="D70" s="22">
        <v>0</v>
      </c>
      <c r="E70" s="22">
        <v>500</v>
      </c>
      <c r="F70" s="22">
        <v>1000</v>
      </c>
      <c r="G70" s="22">
        <v>1500</v>
      </c>
      <c r="H70" s="22">
        <v>2000</v>
      </c>
      <c r="I70" s="22">
        <v>2500</v>
      </c>
      <c r="J70" s="22">
        <v>3000</v>
      </c>
      <c r="K70" s="23">
        <v>3500</v>
      </c>
      <c r="M70" s="570"/>
      <c r="N70" s="570"/>
      <c r="O70" s="22">
        <v>0</v>
      </c>
      <c r="P70" s="22">
        <v>500</v>
      </c>
      <c r="Q70" s="22">
        <v>1000</v>
      </c>
      <c r="R70" s="22">
        <v>1500</v>
      </c>
      <c r="S70" s="22">
        <v>2000</v>
      </c>
      <c r="T70" s="22">
        <v>2500</v>
      </c>
      <c r="U70" s="22">
        <v>3000</v>
      </c>
      <c r="V70" s="23">
        <v>3500</v>
      </c>
    </row>
    <row r="71" spans="2:22">
      <c r="B71" s="586" t="s">
        <v>472</v>
      </c>
      <c r="C71" s="24">
        <v>100</v>
      </c>
      <c r="D71" s="25">
        <v>1.3600000143051147</v>
      </c>
      <c r="E71" s="25">
        <v>1.4</v>
      </c>
      <c r="F71" s="25">
        <v>1.44</v>
      </c>
      <c r="G71" s="25">
        <v>1.49</v>
      </c>
      <c r="H71" s="25">
        <v>1.53</v>
      </c>
      <c r="I71" s="25">
        <v>1.58</v>
      </c>
      <c r="J71" s="25">
        <v>1.62</v>
      </c>
      <c r="K71" s="26">
        <v>1.6699999570846558</v>
      </c>
      <c r="M71" s="586" t="s">
        <v>473</v>
      </c>
      <c r="N71" s="24">
        <v>100</v>
      </c>
      <c r="O71" s="25">
        <v>1.1200000047683716</v>
      </c>
      <c r="P71" s="25">
        <v>1.1599999999999999</v>
      </c>
      <c r="Q71" s="25">
        <v>1.2</v>
      </c>
      <c r="R71" s="25">
        <v>1.24</v>
      </c>
      <c r="S71" s="25">
        <v>1.28</v>
      </c>
      <c r="T71" s="25">
        <v>1.32</v>
      </c>
      <c r="U71" s="25">
        <v>1.36</v>
      </c>
      <c r="V71" s="26">
        <v>1.4099999666213989</v>
      </c>
    </row>
    <row r="72" spans="2:22">
      <c r="B72" s="587"/>
      <c r="C72" s="27">
        <v>110</v>
      </c>
      <c r="D72" s="28">
        <v>1.2300000190734863</v>
      </c>
      <c r="E72" s="28">
        <v>1.27</v>
      </c>
      <c r="F72" s="28">
        <v>1.31</v>
      </c>
      <c r="G72" s="28">
        <v>1.36</v>
      </c>
      <c r="H72" s="28">
        <v>1.4</v>
      </c>
      <c r="I72" s="28">
        <v>1.45</v>
      </c>
      <c r="J72" s="28">
        <v>1.49</v>
      </c>
      <c r="K72" s="29">
        <v>1.5399999618530273</v>
      </c>
      <c r="M72" s="587"/>
      <c r="N72" s="27">
        <v>110</v>
      </c>
      <c r="O72" s="28">
        <v>1.0099999904632568</v>
      </c>
      <c r="P72" s="28">
        <v>1.04</v>
      </c>
      <c r="Q72" s="28">
        <v>1.08</v>
      </c>
      <c r="R72" s="28">
        <v>1.1200000000000001</v>
      </c>
      <c r="S72" s="28">
        <v>1.1499999999999999</v>
      </c>
      <c r="T72" s="28">
        <v>1.19</v>
      </c>
      <c r="U72" s="28">
        <v>1.23</v>
      </c>
      <c r="V72" s="29">
        <v>1.2699999809265137</v>
      </c>
    </row>
    <row r="73" spans="2:22">
      <c r="B73" s="587"/>
      <c r="C73" s="30">
        <v>120</v>
      </c>
      <c r="D73" s="31">
        <v>1.1200000047683716</v>
      </c>
      <c r="E73" s="31">
        <v>1.1599999999999999</v>
      </c>
      <c r="F73" s="31">
        <v>1.2</v>
      </c>
      <c r="G73" s="31">
        <v>1.24</v>
      </c>
      <c r="H73" s="31">
        <v>1.28</v>
      </c>
      <c r="I73" s="31">
        <v>1.32</v>
      </c>
      <c r="J73" s="31">
        <v>1.36</v>
      </c>
      <c r="K73" s="32">
        <v>1.4099999666213989</v>
      </c>
      <c r="M73" s="587"/>
      <c r="N73" s="30">
        <v>120</v>
      </c>
      <c r="O73" s="31">
        <v>0.92000001668930054</v>
      </c>
      <c r="P73" s="31">
        <v>0.95</v>
      </c>
      <c r="Q73" s="31">
        <v>0.98</v>
      </c>
      <c r="R73" s="31">
        <v>1.02</v>
      </c>
      <c r="S73" s="31">
        <v>1.05</v>
      </c>
      <c r="T73" s="31">
        <v>1.0900000000000001</v>
      </c>
      <c r="U73" s="31">
        <v>1.1200000000000001</v>
      </c>
      <c r="V73" s="32">
        <v>1.1599999666213989</v>
      </c>
    </row>
    <row r="74" spans="2:22">
      <c r="B74" s="587"/>
      <c r="C74" s="27">
        <v>130</v>
      </c>
      <c r="D74" s="28">
        <v>1.0299999713897705</v>
      </c>
      <c r="E74" s="28">
        <v>1.06</v>
      </c>
      <c r="F74" s="28">
        <v>1.1000000000000001</v>
      </c>
      <c r="G74" s="28">
        <v>1.1399999999999999</v>
      </c>
      <c r="H74" s="28">
        <v>1.17</v>
      </c>
      <c r="I74" s="28">
        <v>1.21</v>
      </c>
      <c r="J74" s="28">
        <v>1.25</v>
      </c>
      <c r="K74" s="29">
        <v>1.2899999618530273</v>
      </c>
      <c r="M74" s="587"/>
      <c r="N74" s="27">
        <v>130</v>
      </c>
      <c r="O74" s="28">
        <v>0.8399999737739563</v>
      </c>
      <c r="P74" s="28">
        <v>0.87</v>
      </c>
      <c r="Q74" s="28">
        <v>0.9</v>
      </c>
      <c r="R74" s="28">
        <v>0.93</v>
      </c>
      <c r="S74" s="28">
        <v>0.96</v>
      </c>
      <c r="T74" s="28">
        <v>0.99</v>
      </c>
      <c r="U74" s="28">
        <v>1.02</v>
      </c>
      <c r="V74" s="29">
        <v>1.059999942779541</v>
      </c>
    </row>
    <row r="75" spans="2:22">
      <c r="B75" s="587"/>
      <c r="C75" s="30">
        <v>140</v>
      </c>
      <c r="D75" s="31">
        <v>0.94999998807907104</v>
      </c>
      <c r="E75" s="31">
        <v>0.98</v>
      </c>
      <c r="F75" s="31">
        <v>1.01</v>
      </c>
      <c r="G75" s="31">
        <v>1.05</v>
      </c>
      <c r="H75" s="31">
        <v>1.08</v>
      </c>
      <c r="I75" s="31">
        <v>1.1200000000000001</v>
      </c>
      <c r="J75" s="31">
        <v>1.1499999999999999</v>
      </c>
      <c r="K75" s="32">
        <v>1.190000057220459</v>
      </c>
      <c r="M75" s="587"/>
      <c r="N75" s="30">
        <v>140</v>
      </c>
      <c r="O75" s="31" t="s">
        <v>114</v>
      </c>
      <c r="P75" s="31" t="s">
        <v>114</v>
      </c>
      <c r="Q75" s="31">
        <v>0.81000000238418579</v>
      </c>
      <c r="R75" s="31">
        <v>0.86000001430511475</v>
      </c>
      <c r="S75" s="31">
        <v>0.88999998569488525</v>
      </c>
      <c r="T75" s="31">
        <v>0.92000001668930054</v>
      </c>
      <c r="U75" s="31">
        <v>0.94999998807907104</v>
      </c>
      <c r="V75" s="32">
        <v>0.98000001907348633</v>
      </c>
    </row>
    <row r="76" spans="2:22">
      <c r="B76" s="587"/>
      <c r="C76" s="27">
        <v>150</v>
      </c>
      <c r="D76" s="28">
        <v>0.86000001430511475</v>
      </c>
      <c r="E76" s="28">
        <v>0.89</v>
      </c>
      <c r="F76" s="28">
        <v>0.93</v>
      </c>
      <c r="G76" s="28">
        <v>0.96</v>
      </c>
      <c r="H76" s="28">
        <v>1</v>
      </c>
      <c r="I76" s="28">
        <v>1.03</v>
      </c>
      <c r="J76" s="28">
        <v>1.07</v>
      </c>
      <c r="K76" s="29">
        <v>1.1100000143051147</v>
      </c>
      <c r="M76" s="587"/>
      <c r="N76" s="27">
        <v>150</v>
      </c>
      <c r="O76" s="28" t="s">
        <v>114</v>
      </c>
      <c r="P76" s="28" t="s">
        <v>114</v>
      </c>
      <c r="Q76" s="28" t="s">
        <v>114</v>
      </c>
      <c r="R76" s="28" t="s">
        <v>114</v>
      </c>
      <c r="S76" s="28">
        <v>0.80000001192092896</v>
      </c>
      <c r="T76" s="28">
        <v>0.85000002384185791</v>
      </c>
      <c r="U76" s="28">
        <v>0.87999999523162842</v>
      </c>
      <c r="V76" s="29">
        <v>0.9100000262260437</v>
      </c>
    </row>
    <row r="77" spans="2:22">
      <c r="B77" s="587"/>
      <c r="C77" s="30">
        <v>160</v>
      </c>
      <c r="D77" s="31" t="s">
        <v>114</v>
      </c>
      <c r="E77" s="31">
        <v>0.80000001192092896</v>
      </c>
      <c r="F77" s="31">
        <v>0.8399999737739563</v>
      </c>
      <c r="G77" s="31">
        <v>0.89999997615814209</v>
      </c>
      <c r="H77" s="31">
        <v>0.93999999761581421</v>
      </c>
      <c r="I77" s="31">
        <v>0.97000002861022949</v>
      </c>
      <c r="J77" s="31">
        <v>1</v>
      </c>
      <c r="K77" s="32">
        <v>1.0299999713897705</v>
      </c>
      <c r="M77" s="587"/>
      <c r="N77" s="30">
        <v>160</v>
      </c>
      <c r="O77" s="31" t="s">
        <v>114</v>
      </c>
      <c r="P77" s="31" t="s">
        <v>114</v>
      </c>
      <c r="Q77" s="31" t="s">
        <v>114</v>
      </c>
      <c r="R77" s="31" t="s">
        <v>114</v>
      </c>
      <c r="S77" s="31" t="s">
        <v>114</v>
      </c>
      <c r="T77" s="31" t="s">
        <v>114</v>
      </c>
      <c r="U77" s="31">
        <v>0.80000001192092896</v>
      </c>
      <c r="V77" s="32">
        <v>0.8399999737739563</v>
      </c>
    </row>
    <row r="78" spans="2:22">
      <c r="B78" s="587"/>
      <c r="C78" s="27">
        <v>170</v>
      </c>
      <c r="D78" s="28" t="s">
        <v>114</v>
      </c>
      <c r="E78" s="28" t="s">
        <v>114</v>
      </c>
      <c r="F78" s="28" t="s">
        <v>114</v>
      </c>
      <c r="G78" s="28">
        <v>0.80000001192092896</v>
      </c>
      <c r="H78" s="28">
        <v>0.8399999737739563</v>
      </c>
      <c r="I78" s="28">
        <v>0.89999997615814209</v>
      </c>
      <c r="J78" s="28">
        <v>0.93999999761581421</v>
      </c>
      <c r="K78" s="29">
        <v>0.97000002861022949</v>
      </c>
      <c r="M78" s="587"/>
      <c r="N78" s="27">
        <v>170</v>
      </c>
      <c r="O78" s="28" t="s">
        <v>114</v>
      </c>
      <c r="P78" s="28" t="s">
        <v>114</v>
      </c>
      <c r="Q78" s="28" t="s">
        <v>114</v>
      </c>
      <c r="R78" s="28" t="s">
        <v>114</v>
      </c>
      <c r="S78" s="28" t="s">
        <v>114</v>
      </c>
      <c r="T78" s="28" t="s">
        <v>114</v>
      </c>
      <c r="U78" s="28" t="s">
        <v>114</v>
      </c>
      <c r="V78" s="29" t="s">
        <v>114</v>
      </c>
    </row>
    <row r="79" spans="2:22">
      <c r="B79" s="587"/>
      <c r="C79" s="30">
        <v>180</v>
      </c>
      <c r="D79" s="31" t="s">
        <v>114</v>
      </c>
      <c r="E79" s="31" t="s">
        <v>114</v>
      </c>
      <c r="F79" s="31" t="s">
        <v>114</v>
      </c>
      <c r="G79" s="31" t="s">
        <v>114</v>
      </c>
      <c r="H79" s="31" t="s">
        <v>114</v>
      </c>
      <c r="I79" s="31">
        <v>0.80000001192092896</v>
      </c>
      <c r="J79" s="31">
        <v>0.85000002384185791</v>
      </c>
      <c r="K79" s="32">
        <v>0.9100000262260437</v>
      </c>
      <c r="M79" s="587"/>
      <c r="N79" s="30">
        <v>180</v>
      </c>
      <c r="O79" s="31" t="s">
        <v>114</v>
      </c>
      <c r="P79" s="31" t="s">
        <v>114</v>
      </c>
      <c r="Q79" s="31" t="s">
        <v>114</v>
      </c>
      <c r="R79" s="31" t="s">
        <v>114</v>
      </c>
      <c r="S79" s="31" t="s">
        <v>114</v>
      </c>
      <c r="T79" s="31" t="s">
        <v>114</v>
      </c>
      <c r="U79" s="31" t="s">
        <v>114</v>
      </c>
      <c r="V79" s="45" t="s">
        <v>114</v>
      </c>
    </row>
    <row r="80" spans="2:22">
      <c r="B80" s="587"/>
      <c r="C80" s="27">
        <v>190</v>
      </c>
      <c r="D80" s="28" t="s">
        <v>114</v>
      </c>
      <c r="E80" s="28" t="s">
        <v>114</v>
      </c>
      <c r="F80" s="28" t="s">
        <v>114</v>
      </c>
      <c r="G80" s="28" t="s">
        <v>114</v>
      </c>
      <c r="H80" s="28" t="s">
        <v>114</v>
      </c>
      <c r="I80" s="28" t="s">
        <v>114</v>
      </c>
      <c r="J80" s="28" t="s">
        <v>114</v>
      </c>
      <c r="K80" s="29">
        <v>0.82999998331069946</v>
      </c>
      <c r="M80" s="587"/>
      <c r="N80" s="27">
        <v>190</v>
      </c>
      <c r="O80" s="28" t="s">
        <v>114</v>
      </c>
      <c r="P80" s="28" t="s">
        <v>114</v>
      </c>
      <c r="Q80" s="28" t="s">
        <v>114</v>
      </c>
      <c r="R80" s="28" t="s">
        <v>114</v>
      </c>
      <c r="S80" s="28" t="s">
        <v>114</v>
      </c>
      <c r="T80" s="28" t="s">
        <v>114</v>
      </c>
      <c r="U80" s="28" t="s">
        <v>114</v>
      </c>
      <c r="V80" s="29" t="s">
        <v>114</v>
      </c>
    </row>
    <row r="81" spans="2:22" ht="15" thickBot="1">
      <c r="B81" s="588"/>
      <c r="C81" s="33">
        <v>200</v>
      </c>
      <c r="D81" s="34" t="s">
        <v>114</v>
      </c>
      <c r="E81" s="34" t="s">
        <v>114</v>
      </c>
      <c r="F81" s="34" t="s">
        <v>114</v>
      </c>
      <c r="G81" s="35" t="s">
        <v>114</v>
      </c>
      <c r="H81" s="34" t="s">
        <v>114</v>
      </c>
      <c r="I81" s="34" t="s">
        <v>114</v>
      </c>
      <c r="J81" s="34" t="s">
        <v>114</v>
      </c>
      <c r="K81" s="36" t="s">
        <v>114</v>
      </c>
      <c r="M81" s="588"/>
      <c r="N81" s="33">
        <v>200</v>
      </c>
      <c r="O81" s="34" t="s">
        <v>114</v>
      </c>
      <c r="P81" s="34" t="s">
        <v>114</v>
      </c>
      <c r="Q81" s="34" t="s">
        <v>114</v>
      </c>
      <c r="R81" s="35" t="s">
        <v>114</v>
      </c>
      <c r="S81" s="34" t="s">
        <v>114</v>
      </c>
      <c r="T81" s="34" t="s">
        <v>114</v>
      </c>
      <c r="U81" s="34" t="s">
        <v>114</v>
      </c>
      <c r="V81" s="36" t="s">
        <v>114</v>
      </c>
    </row>
    <row r="82" spans="2:22" ht="15" thickBot="1"/>
    <row r="83" spans="2:22" ht="16" thickBot="1">
      <c r="B83" s="585" t="s">
        <v>475</v>
      </c>
      <c r="C83" s="578"/>
      <c r="D83" s="577" t="s">
        <v>462</v>
      </c>
      <c r="E83" s="577"/>
      <c r="F83" s="577"/>
      <c r="G83" s="577"/>
      <c r="H83" s="577"/>
      <c r="I83" s="577"/>
      <c r="J83" s="577"/>
      <c r="K83" s="578"/>
      <c r="M83" s="585" t="s">
        <v>475</v>
      </c>
      <c r="N83" s="578"/>
      <c r="O83" s="577" t="s">
        <v>462</v>
      </c>
      <c r="P83" s="577"/>
      <c r="Q83" s="577"/>
      <c r="R83" s="577"/>
      <c r="S83" s="577"/>
      <c r="T83" s="577"/>
      <c r="U83" s="577"/>
      <c r="V83" s="578"/>
    </row>
    <row r="84" spans="2:22">
      <c r="B84" s="568" t="s">
        <v>469</v>
      </c>
      <c r="C84" s="569" t="s">
        <v>463</v>
      </c>
      <c r="D84" s="579" t="s">
        <v>464</v>
      </c>
      <c r="E84" s="580"/>
      <c r="F84" s="580"/>
      <c r="G84" s="580"/>
      <c r="H84" s="580"/>
      <c r="I84" s="580"/>
      <c r="J84" s="580"/>
      <c r="K84" s="581"/>
      <c r="M84" s="568" t="s">
        <v>469</v>
      </c>
      <c r="N84" s="569" t="s">
        <v>463</v>
      </c>
      <c r="O84" s="579" t="s">
        <v>464</v>
      </c>
      <c r="P84" s="580"/>
      <c r="Q84" s="580"/>
      <c r="R84" s="580"/>
      <c r="S84" s="580"/>
      <c r="T84" s="580"/>
      <c r="U84" s="580"/>
      <c r="V84" s="581"/>
    </row>
    <row r="85" spans="2:22" ht="15" thickBot="1">
      <c r="B85" s="569"/>
      <c r="C85" s="569"/>
      <c r="D85" s="582"/>
      <c r="E85" s="583"/>
      <c r="F85" s="583"/>
      <c r="G85" s="583"/>
      <c r="H85" s="583"/>
      <c r="I85" s="583"/>
      <c r="J85" s="583"/>
      <c r="K85" s="584"/>
      <c r="M85" s="569"/>
      <c r="N85" s="569"/>
      <c r="O85" s="582"/>
      <c r="P85" s="583"/>
      <c r="Q85" s="583"/>
      <c r="R85" s="583"/>
      <c r="S85" s="583"/>
      <c r="T85" s="583"/>
      <c r="U85" s="583"/>
      <c r="V85" s="584"/>
    </row>
    <row r="86" spans="2:22" ht="15" thickBot="1">
      <c r="B86" s="570"/>
      <c r="C86" s="570"/>
      <c r="D86" s="22">
        <v>0</v>
      </c>
      <c r="E86" s="22">
        <v>500</v>
      </c>
      <c r="F86" s="22">
        <v>1000</v>
      </c>
      <c r="G86" s="22">
        <v>1500</v>
      </c>
      <c r="H86" s="22">
        <v>2000</v>
      </c>
      <c r="I86" s="22">
        <v>2500</v>
      </c>
      <c r="J86" s="22">
        <v>3000</v>
      </c>
      <c r="K86" s="23">
        <v>3500</v>
      </c>
      <c r="M86" s="570"/>
      <c r="N86" s="570"/>
      <c r="O86" s="22">
        <v>0</v>
      </c>
      <c r="P86" s="22">
        <v>500</v>
      </c>
      <c r="Q86" s="22">
        <v>1000</v>
      </c>
      <c r="R86" s="22">
        <v>1500</v>
      </c>
      <c r="S86" s="22">
        <v>2000</v>
      </c>
      <c r="T86" s="22">
        <v>2500</v>
      </c>
      <c r="U86" s="22">
        <v>3000</v>
      </c>
      <c r="V86" s="23">
        <v>3500</v>
      </c>
    </row>
    <row r="87" spans="2:22">
      <c r="B87" s="586" t="s">
        <v>472</v>
      </c>
      <c r="C87" s="24">
        <v>100</v>
      </c>
      <c r="D87" s="25">
        <v>1.5499999523162842</v>
      </c>
      <c r="E87" s="25">
        <v>1.58</v>
      </c>
      <c r="F87" s="25">
        <v>1.62</v>
      </c>
      <c r="G87" s="25">
        <v>1.66</v>
      </c>
      <c r="H87" s="25">
        <v>1.71</v>
      </c>
      <c r="I87" s="25">
        <v>1.75</v>
      </c>
      <c r="J87" s="25">
        <v>1.79</v>
      </c>
      <c r="K87" s="26">
        <v>1.8300000429153442</v>
      </c>
      <c r="M87" s="586" t="s">
        <v>473</v>
      </c>
      <c r="N87" s="24">
        <v>100</v>
      </c>
      <c r="O87" s="25">
        <v>1.2899999618530273</v>
      </c>
      <c r="P87" s="25">
        <v>1.33</v>
      </c>
      <c r="Q87" s="25">
        <v>1.38</v>
      </c>
      <c r="R87" s="25">
        <v>1.42</v>
      </c>
      <c r="S87" s="25">
        <v>1.47</v>
      </c>
      <c r="T87" s="25">
        <v>1.51</v>
      </c>
      <c r="U87" s="25">
        <v>1.56</v>
      </c>
      <c r="V87" s="26">
        <v>1.6100000143051147</v>
      </c>
    </row>
    <row r="88" spans="2:22">
      <c r="B88" s="587"/>
      <c r="C88" s="27">
        <v>110</v>
      </c>
      <c r="D88" s="28">
        <v>1.4099999666213989</v>
      </c>
      <c r="E88" s="28">
        <v>1.45</v>
      </c>
      <c r="F88" s="28">
        <v>1.49</v>
      </c>
      <c r="G88" s="28">
        <v>1.54</v>
      </c>
      <c r="H88" s="28">
        <v>1.58</v>
      </c>
      <c r="I88" s="28">
        <v>1.63</v>
      </c>
      <c r="J88" s="28">
        <v>1.67</v>
      </c>
      <c r="K88" s="29">
        <v>1.7200000286102295</v>
      </c>
      <c r="M88" s="587"/>
      <c r="N88" s="27">
        <v>110</v>
      </c>
      <c r="O88" s="28">
        <v>1.1599999666213989</v>
      </c>
      <c r="P88" s="28">
        <v>1.2</v>
      </c>
      <c r="Q88" s="28">
        <v>1.24</v>
      </c>
      <c r="R88" s="28">
        <v>1.28</v>
      </c>
      <c r="S88" s="28">
        <v>1.33</v>
      </c>
      <c r="T88" s="28">
        <v>1.37</v>
      </c>
      <c r="U88" s="28">
        <v>1.41</v>
      </c>
      <c r="V88" s="29">
        <v>1.4600000381469727</v>
      </c>
    </row>
    <row r="89" spans="2:22">
      <c r="B89" s="587"/>
      <c r="C89" s="30">
        <v>120</v>
      </c>
      <c r="D89" s="31">
        <v>1.2799999713897705</v>
      </c>
      <c r="E89" s="31">
        <v>1.32</v>
      </c>
      <c r="F89" s="31">
        <v>1.37</v>
      </c>
      <c r="G89" s="31">
        <v>1.42</v>
      </c>
      <c r="H89" s="31">
        <v>1.46</v>
      </c>
      <c r="I89" s="31">
        <v>1.51</v>
      </c>
      <c r="J89" s="31">
        <v>1.56</v>
      </c>
      <c r="K89" s="32">
        <v>1.6100000143051147</v>
      </c>
      <c r="M89" s="587"/>
      <c r="N89" s="30">
        <v>120</v>
      </c>
      <c r="O89" s="31">
        <v>1.059999942779541</v>
      </c>
      <c r="P89" s="31">
        <v>1.0900000000000001</v>
      </c>
      <c r="Q89" s="31">
        <v>1.1299999999999999</v>
      </c>
      <c r="R89" s="31">
        <v>1.17</v>
      </c>
      <c r="S89" s="31">
        <v>1.21</v>
      </c>
      <c r="T89" s="31">
        <v>1.25</v>
      </c>
      <c r="U89" s="31">
        <v>1.29</v>
      </c>
      <c r="V89" s="32">
        <v>1.3300000429153442</v>
      </c>
    </row>
    <row r="90" spans="2:22">
      <c r="B90" s="587"/>
      <c r="C90" s="27">
        <v>130</v>
      </c>
      <c r="D90" s="28">
        <v>1.1699999570846558</v>
      </c>
      <c r="E90" s="28">
        <v>1.21</v>
      </c>
      <c r="F90" s="28">
        <v>1.25</v>
      </c>
      <c r="G90" s="28">
        <v>1.3</v>
      </c>
      <c r="H90" s="28">
        <v>1.34</v>
      </c>
      <c r="I90" s="28">
        <v>1.39</v>
      </c>
      <c r="J90" s="28">
        <v>1.43</v>
      </c>
      <c r="K90" s="29">
        <v>1.4800000190734863</v>
      </c>
      <c r="M90" s="587"/>
      <c r="N90" s="27">
        <v>130</v>
      </c>
      <c r="O90" s="28">
        <v>0.97000002861022949</v>
      </c>
      <c r="P90" s="28">
        <v>1</v>
      </c>
      <c r="Q90" s="28">
        <v>1.04</v>
      </c>
      <c r="R90" s="28">
        <v>1.07</v>
      </c>
      <c r="S90" s="28">
        <v>1.1100000000000001</v>
      </c>
      <c r="T90" s="28">
        <v>1.1399999999999999</v>
      </c>
      <c r="U90" s="28">
        <v>1.18</v>
      </c>
      <c r="V90" s="29">
        <v>1.2200000286102295</v>
      </c>
    </row>
    <row r="91" spans="2:22">
      <c r="B91" s="587"/>
      <c r="C91" s="30">
        <v>140</v>
      </c>
      <c r="D91" s="31">
        <v>1.0900000333786011</v>
      </c>
      <c r="E91" s="31">
        <v>1.1299999999999999</v>
      </c>
      <c r="F91" s="31">
        <v>1.17</v>
      </c>
      <c r="G91" s="31">
        <v>1.21</v>
      </c>
      <c r="H91" s="31">
        <v>1.25</v>
      </c>
      <c r="I91" s="31">
        <v>1.29</v>
      </c>
      <c r="J91" s="31">
        <v>1.33</v>
      </c>
      <c r="K91" s="32">
        <v>1.3700000047683716</v>
      </c>
      <c r="M91" s="587"/>
      <c r="N91" s="30">
        <v>140</v>
      </c>
      <c r="O91" s="31">
        <v>0.89999997615814209</v>
      </c>
      <c r="P91" s="31">
        <v>0.93</v>
      </c>
      <c r="Q91" s="31">
        <v>0.96</v>
      </c>
      <c r="R91" s="31">
        <v>0.99</v>
      </c>
      <c r="S91" s="31">
        <v>1.03</v>
      </c>
      <c r="T91" s="31">
        <v>1.06</v>
      </c>
      <c r="U91" s="31">
        <v>1.0900000000000001</v>
      </c>
      <c r="V91" s="32">
        <v>1.1299999952316284</v>
      </c>
    </row>
    <row r="92" spans="2:22">
      <c r="B92" s="587"/>
      <c r="C92" s="27">
        <v>150</v>
      </c>
      <c r="D92" s="28">
        <v>1.0099999904632568</v>
      </c>
      <c r="E92" s="28">
        <v>1.04</v>
      </c>
      <c r="F92" s="28">
        <v>1.08</v>
      </c>
      <c r="G92" s="28">
        <v>1.1200000000000001</v>
      </c>
      <c r="H92" s="28">
        <v>1.1499999999999999</v>
      </c>
      <c r="I92" s="28">
        <v>1.19</v>
      </c>
      <c r="J92" s="28">
        <v>1.23</v>
      </c>
      <c r="K92" s="29">
        <v>1.2699999809265137</v>
      </c>
      <c r="M92" s="587"/>
      <c r="N92" s="27">
        <v>150</v>
      </c>
      <c r="O92" s="28">
        <v>0.81999999284744263</v>
      </c>
      <c r="P92" s="28">
        <v>0.85</v>
      </c>
      <c r="Q92" s="28">
        <v>0.88</v>
      </c>
      <c r="R92" s="28">
        <v>0.91</v>
      </c>
      <c r="S92" s="28">
        <v>0.95</v>
      </c>
      <c r="T92" s="28">
        <v>0.98</v>
      </c>
      <c r="U92" s="28">
        <v>1.01</v>
      </c>
      <c r="V92" s="29">
        <v>1.0499999523162842</v>
      </c>
    </row>
    <row r="93" spans="2:22">
      <c r="B93" s="587"/>
      <c r="C93" s="30">
        <v>160</v>
      </c>
      <c r="D93" s="31">
        <v>0.94999998807907104</v>
      </c>
      <c r="E93" s="31">
        <v>0.98</v>
      </c>
      <c r="F93" s="31">
        <v>1.01</v>
      </c>
      <c r="G93" s="31">
        <v>1.04</v>
      </c>
      <c r="H93" s="31">
        <v>1.08</v>
      </c>
      <c r="I93" s="31">
        <v>1.1100000000000001</v>
      </c>
      <c r="J93" s="31">
        <v>1.1399999999999999</v>
      </c>
      <c r="K93" s="32">
        <v>1.1799999475479126</v>
      </c>
      <c r="M93" s="587"/>
      <c r="N93" s="30">
        <v>160</v>
      </c>
      <c r="O93" s="31" t="s">
        <v>114</v>
      </c>
      <c r="P93" s="31" t="s">
        <v>114</v>
      </c>
      <c r="Q93" s="31">
        <v>0.80000001192092896</v>
      </c>
      <c r="R93" s="31">
        <v>0.85000002384185791</v>
      </c>
      <c r="S93" s="31">
        <v>0.87999999523162842</v>
      </c>
      <c r="T93" s="31">
        <v>0.9100000262260437</v>
      </c>
      <c r="U93" s="31">
        <v>0.93999999761581421</v>
      </c>
      <c r="V93" s="32">
        <v>0.98000001907348633</v>
      </c>
    </row>
    <row r="94" spans="2:22">
      <c r="B94" s="587"/>
      <c r="C94" s="27">
        <v>170</v>
      </c>
      <c r="D94" s="28">
        <v>0.87000000476837158</v>
      </c>
      <c r="E94" s="28">
        <v>0.9</v>
      </c>
      <c r="F94" s="28">
        <v>0.93</v>
      </c>
      <c r="G94" s="28">
        <v>0.97</v>
      </c>
      <c r="H94" s="28">
        <v>1</v>
      </c>
      <c r="I94" s="28">
        <v>1.04</v>
      </c>
      <c r="J94" s="28">
        <v>1.07</v>
      </c>
      <c r="K94" s="29">
        <v>1.1100000143051147</v>
      </c>
      <c r="M94" s="587"/>
      <c r="N94" s="27">
        <v>170</v>
      </c>
      <c r="O94" s="28" t="s">
        <v>114</v>
      </c>
      <c r="P94" s="28" t="s">
        <v>114</v>
      </c>
      <c r="Q94" s="28" t="s">
        <v>114</v>
      </c>
      <c r="R94" s="28" t="s">
        <v>114</v>
      </c>
      <c r="S94" s="28">
        <v>0.80000001192092896</v>
      </c>
      <c r="T94" s="28">
        <v>0.85000002384185791</v>
      </c>
      <c r="U94" s="28">
        <v>0.87999999523162842</v>
      </c>
      <c r="V94" s="29">
        <v>0.9100000262260437</v>
      </c>
    </row>
    <row r="95" spans="2:22">
      <c r="B95" s="587"/>
      <c r="C95" s="30">
        <v>180</v>
      </c>
      <c r="D95" s="31" t="s">
        <v>114</v>
      </c>
      <c r="E95" s="31">
        <v>0.81000000238418579</v>
      </c>
      <c r="F95" s="31">
        <v>0.86000001430511475</v>
      </c>
      <c r="G95" s="31">
        <v>0.92000001668930054</v>
      </c>
      <c r="H95" s="31">
        <v>0.94999998807907104</v>
      </c>
      <c r="I95" s="31">
        <v>0.98000001907348633</v>
      </c>
      <c r="J95" s="31">
        <v>1.0099999904632568</v>
      </c>
      <c r="K95" s="32">
        <v>1.0499999523162842</v>
      </c>
      <c r="M95" s="587"/>
      <c r="N95" s="30">
        <v>180</v>
      </c>
      <c r="O95" s="31" t="s">
        <v>114</v>
      </c>
      <c r="P95" s="31" t="s">
        <v>114</v>
      </c>
      <c r="Q95" s="31" t="s">
        <v>114</v>
      </c>
      <c r="R95" s="31" t="s">
        <v>114</v>
      </c>
      <c r="S95" s="46" t="s">
        <v>114</v>
      </c>
      <c r="T95" s="31" t="s">
        <v>114</v>
      </c>
      <c r="U95" s="31">
        <v>0.80000001192092896</v>
      </c>
      <c r="V95" s="32">
        <v>0.86000001430511475</v>
      </c>
    </row>
    <row r="96" spans="2:22">
      <c r="B96" s="587"/>
      <c r="C96" s="27">
        <v>190</v>
      </c>
      <c r="D96" s="28" t="s">
        <v>114</v>
      </c>
      <c r="E96" s="28" t="s">
        <v>114</v>
      </c>
      <c r="F96" s="28" t="s">
        <v>114</v>
      </c>
      <c r="G96" s="28">
        <v>0.81999999284744263</v>
      </c>
      <c r="H96" s="28">
        <v>0.87000000476837158</v>
      </c>
      <c r="I96" s="28">
        <v>0.92000001668930054</v>
      </c>
      <c r="J96" s="28">
        <v>0.94999998807907104</v>
      </c>
      <c r="K96" s="29">
        <v>0.99000000953674316</v>
      </c>
      <c r="M96" s="587"/>
      <c r="N96" s="27">
        <v>190</v>
      </c>
      <c r="O96" s="28" t="s">
        <v>114</v>
      </c>
      <c r="P96" s="28" t="s">
        <v>114</v>
      </c>
      <c r="Q96" s="28" t="s">
        <v>114</v>
      </c>
      <c r="R96" s="28" t="s">
        <v>114</v>
      </c>
      <c r="S96" s="28" t="s">
        <v>114</v>
      </c>
      <c r="T96" s="28" t="s">
        <v>114</v>
      </c>
      <c r="U96" s="28" t="s">
        <v>114</v>
      </c>
      <c r="V96" s="29" t="s">
        <v>114</v>
      </c>
    </row>
    <row r="97" spans="2:22" ht="15" thickBot="1">
      <c r="B97" s="588"/>
      <c r="C97" s="33">
        <v>200</v>
      </c>
      <c r="D97" s="34" t="s">
        <v>114</v>
      </c>
      <c r="E97" s="34" t="s">
        <v>114</v>
      </c>
      <c r="F97" s="34" t="s">
        <v>114</v>
      </c>
      <c r="G97" s="35" t="s">
        <v>114</v>
      </c>
      <c r="H97" s="34" t="s">
        <v>114</v>
      </c>
      <c r="I97" s="34">
        <v>0.82999998331069946</v>
      </c>
      <c r="J97" s="34">
        <v>0.88999998569488525</v>
      </c>
      <c r="K97" s="36">
        <v>0.93000000715255737</v>
      </c>
      <c r="M97" s="588"/>
      <c r="N97" s="33">
        <v>200</v>
      </c>
      <c r="O97" s="34" t="s">
        <v>114</v>
      </c>
      <c r="P97" s="34" t="s">
        <v>114</v>
      </c>
      <c r="Q97" s="34" t="s">
        <v>114</v>
      </c>
      <c r="R97" s="35" t="s">
        <v>114</v>
      </c>
      <c r="S97" s="34" t="s">
        <v>114</v>
      </c>
      <c r="T97" s="34" t="s">
        <v>114</v>
      </c>
      <c r="U97" s="34" t="s">
        <v>114</v>
      </c>
      <c r="V97" s="36" t="s">
        <v>114</v>
      </c>
    </row>
    <row r="98" spans="2:22" ht="15" thickBot="1"/>
    <row r="99" spans="2:22" ht="16" thickBot="1">
      <c r="B99" s="585" t="s">
        <v>475</v>
      </c>
      <c r="C99" s="578"/>
      <c r="D99" s="577" t="s">
        <v>462</v>
      </c>
      <c r="E99" s="577"/>
      <c r="F99" s="577"/>
      <c r="G99" s="577"/>
      <c r="H99" s="577"/>
      <c r="I99" s="577"/>
      <c r="J99" s="577"/>
      <c r="K99" s="578"/>
      <c r="M99" s="585" t="s">
        <v>475</v>
      </c>
      <c r="N99" s="578"/>
      <c r="O99" s="577" t="s">
        <v>462</v>
      </c>
      <c r="P99" s="577"/>
      <c r="Q99" s="577"/>
      <c r="R99" s="577"/>
      <c r="S99" s="577"/>
      <c r="T99" s="577"/>
      <c r="U99" s="577"/>
      <c r="V99" s="578"/>
    </row>
    <row r="100" spans="2:22">
      <c r="B100" s="568" t="s">
        <v>470</v>
      </c>
      <c r="C100" s="569" t="s">
        <v>463</v>
      </c>
      <c r="D100" s="579" t="s">
        <v>464</v>
      </c>
      <c r="E100" s="580"/>
      <c r="F100" s="580"/>
      <c r="G100" s="580"/>
      <c r="H100" s="580"/>
      <c r="I100" s="580"/>
      <c r="J100" s="580"/>
      <c r="K100" s="581"/>
      <c r="M100" s="568" t="s">
        <v>470</v>
      </c>
      <c r="N100" s="569" t="s">
        <v>463</v>
      </c>
      <c r="O100" s="579" t="s">
        <v>464</v>
      </c>
      <c r="P100" s="580"/>
      <c r="Q100" s="580"/>
      <c r="R100" s="580"/>
      <c r="S100" s="580"/>
      <c r="T100" s="580"/>
      <c r="U100" s="580"/>
      <c r="V100" s="581"/>
    </row>
    <row r="101" spans="2:22" ht="15" thickBot="1">
      <c r="B101" s="569"/>
      <c r="C101" s="569"/>
      <c r="D101" s="582"/>
      <c r="E101" s="583"/>
      <c r="F101" s="583"/>
      <c r="G101" s="583"/>
      <c r="H101" s="583"/>
      <c r="I101" s="583"/>
      <c r="J101" s="583"/>
      <c r="K101" s="584"/>
      <c r="M101" s="569"/>
      <c r="N101" s="569"/>
      <c r="O101" s="582"/>
      <c r="P101" s="583"/>
      <c r="Q101" s="583"/>
      <c r="R101" s="583"/>
      <c r="S101" s="583"/>
      <c r="T101" s="583"/>
      <c r="U101" s="583"/>
      <c r="V101" s="584"/>
    </row>
    <row r="102" spans="2:22" ht="15" thickBot="1">
      <c r="B102" s="570"/>
      <c r="C102" s="570"/>
      <c r="D102" s="22">
        <v>0</v>
      </c>
      <c r="E102" s="22">
        <v>500</v>
      </c>
      <c r="F102" s="22">
        <v>1000</v>
      </c>
      <c r="G102" s="22">
        <v>1500</v>
      </c>
      <c r="H102" s="22">
        <v>2000</v>
      </c>
      <c r="I102" s="22">
        <v>2500</v>
      </c>
      <c r="J102" s="22">
        <v>3000</v>
      </c>
      <c r="K102" s="23">
        <v>3500</v>
      </c>
      <c r="M102" s="570"/>
      <c r="N102" s="570"/>
      <c r="O102" s="22">
        <v>0</v>
      </c>
      <c r="P102" s="22">
        <v>500</v>
      </c>
      <c r="Q102" s="22">
        <v>1000</v>
      </c>
      <c r="R102" s="22">
        <v>1500</v>
      </c>
      <c r="S102" s="22">
        <v>2000</v>
      </c>
      <c r="T102" s="22">
        <v>2500</v>
      </c>
      <c r="U102" s="22">
        <v>3000</v>
      </c>
      <c r="V102" s="23">
        <v>3500</v>
      </c>
    </row>
    <row r="103" spans="2:22">
      <c r="B103" s="586" t="s">
        <v>472</v>
      </c>
      <c r="C103" s="24">
        <v>100</v>
      </c>
      <c r="D103" s="25">
        <v>1.7200000286102295</v>
      </c>
      <c r="E103" s="25">
        <v>1.75</v>
      </c>
      <c r="F103" s="25">
        <v>1.79</v>
      </c>
      <c r="G103" s="25">
        <v>1.82</v>
      </c>
      <c r="H103" s="25">
        <v>1.86</v>
      </c>
      <c r="I103" s="25">
        <v>1.89</v>
      </c>
      <c r="J103" s="25">
        <v>1.9099999666213989</v>
      </c>
      <c r="K103" s="26">
        <v>1.9099999666213989</v>
      </c>
      <c r="M103" s="586" t="s">
        <v>473</v>
      </c>
      <c r="N103" s="24">
        <v>100</v>
      </c>
      <c r="O103" s="25">
        <v>1.4700000286102295</v>
      </c>
      <c r="P103" s="25">
        <v>1.51</v>
      </c>
      <c r="Q103" s="25">
        <v>1.56</v>
      </c>
      <c r="R103" s="25">
        <v>1.6</v>
      </c>
      <c r="S103" s="25">
        <v>1.65</v>
      </c>
      <c r="T103" s="25">
        <v>1.69</v>
      </c>
      <c r="U103" s="25">
        <v>1.74</v>
      </c>
      <c r="V103" s="26">
        <v>1.7899999618530273</v>
      </c>
    </row>
    <row r="104" spans="2:22">
      <c r="B104" s="587"/>
      <c r="C104" s="27">
        <v>110</v>
      </c>
      <c r="D104" s="28">
        <v>1.6100000143051147</v>
      </c>
      <c r="E104" s="28">
        <v>1.64</v>
      </c>
      <c r="F104" s="28">
        <v>1.68</v>
      </c>
      <c r="G104" s="28">
        <v>1.72</v>
      </c>
      <c r="H104" s="28">
        <v>1.75</v>
      </c>
      <c r="I104" s="28">
        <v>1.79</v>
      </c>
      <c r="J104" s="28">
        <v>1.83</v>
      </c>
      <c r="K104" s="29">
        <v>1.8700000047683716</v>
      </c>
      <c r="M104" s="587"/>
      <c r="N104" s="27">
        <v>110</v>
      </c>
      <c r="O104" s="28">
        <v>1.3300000429153442</v>
      </c>
      <c r="P104" s="28">
        <v>1.37</v>
      </c>
      <c r="Q104" s="28">
        <v>1.42</v>
      </c>
      <c r="R104" s="28">
        <v>1.47</v>
      </c>
      <c r="S104" s="28">
        <v>1.52</v>
      </c>
      <c r="T104" s="28">
        <v>1.57</v>
      </c>
      <c r="U104" s="28">
        <v>1.62</v>
      </c>
      <c r="V104" s="29">
        <v>1.6699999570846558</v>
      </c>
    </row>
    <row r="105" spans="2:22">
      <c r="B105" s="587"/>
      <c r="C105" s="30">
        <v>120</v>
      </c>
      <c r="D105" s="31">
        <v>1.4700000286102295</v>
      </c>
      <c r="E105" s="31">
        <v>1.51</v>
      </c>
      <c r="F105" s="31">
        <v>1.55</v>
      </c>
      <c r="G105" s="31">
        <v>1.59</v>
      </c>
      <c r="H105" s="31">
        <v>1.64</v>
      </c>
      <c r="I105" s="31">
        <v>1.68</v>
      </c>
      <c r="J105" s="31">
        <v>1.72</v>
      </c>
      <c r="K105" s="32">
        <v>1.7699999809265137</v>
      </c>
      <c r="M105" s="587"/>
      <c r="N105" s="30">
        <v>120</v>
      </c>
      <c r="O105" s="31">
        <v>1.2100000381469727</v>
      </c>
      <c r="P105" s="31">
        <v>1.25</v>
      </c>
      <c r="Q105" s="31">
        <v>1.29</v>
      </c>
      <c r="R105" s="31">
        <v>1.34</v>
      </c>
      <c r="S105" s="31">
        <v>1.38</v>
      </c>
      <c r="T105" s="31">
        <v>1.43</v>
      </c>
      <c r="U105" s="31">
        <v>1.47</v>
      </c>
      <c r="V105" s="32">
        <v>1.5199999809265137</v>
      </c>
    </row>
    <row r="106" spans="2:22">
      <c r="B106" s="587"/>
      <c r="C106" s="27">
        <v>130</v>
      </c>
      <c r="D106" s="28">
        <v>1.3500000238418579</v>
      </c>
      <c r="E106" s="28">
        <v>1.39</v>
      </c>
      <c r="F106" s="28">
        <v>1.44</v>
      </c>
      <c r="G106" s="28">
        <v>1.48</v>
      </c>
      <c r="H106" s="28">
        <v>1.53</v>
      </c>
      <c r="I106" s="28">
        <v>1.57</v>
      </c>
      <c r="J106" s="28">
        <v>1.62</v>
      </c>
      <c r="K106" s="29">
        <v>1.6699999570846558</v>
      </c>
      <c r="M106" s="587"/>
      <c r="N106" s="27">
        <v>130</v>
      </c>
      <c r="O106" s="28">
        <v>1.1100000143051147</v>
      </c>
      <c r="P106" s="28">
        <v>1.1499999999999999</v>
      </c>
      <c r="Q106" s="28">
        <v>1.19</v>
      </c>
      <c r="R106" s="28">
        <v>1.23</v>
      </c>
      <c r="S106" s="28">
        <v>1.27</v>
      </c>
      <c r="T106" s="28">
        <v>1.31</v>
      </c>
      <c r="U106" s="28">
        <v>1.35</v>
      </c>
      <c r="V106" s="29">
        <v>1.3999999761581421</v>
      </c>
    </row>
    <row r="107" spans="2:22">
      <c r="B107" s="587"/>
      <c r="C107" s="30">
        <v>140</v>
      </c>
      <c r="D107" s="31">
        <v>1.2400000095367432</v>
      </c>
      <c r="E107" s="31">
        <v>1.28</v>
      </c>
      <c r="F107" s="31">
        <v>1.33</v>
      </c>
      <c r="G107" s="31">
        <v>1.38</v>
      </c>
      <c r="H107" s="31">
        <v>1.42</v>
      </c>
      <c r="I107" s="31">
        <v>1.47</v>
      </c>
      <c r="J107" s="31">
        <v>1.52</v>
      </c>
      <c r="K107" s="32">
        <v>1.5700000524520874</v>
      </c>
      <c r="M107" s="587"/>
      <c r="N107" s="30">
        <v>140</v>
      </c>
      <c r="O107" s="31">
        <v>1.0199999809265137</v>
      </c>
      <c r="P107" s="31">
        <v>1.05</v>
      </c>
      <c r="Q107" s="31">
        <v>1.0900000000000001</v>
      </c>
      <c r="R107" s="31">
        <v>1.1299999999999999</v>
      </c>
      <c r="S107" s="31">
        <v>1.17</v>
      </c>
      <c r="T107" s="31">
        <v>1.21</v>
      </c>
      <c r="U107" s="31">
        <v>1.25</v>
      </c>
      <c r="V107" s="32">
        <v>1.2899999618530273</v>
      </c>
    </row>
    <row r="108" spans="2:22">
      <c r="B108" s="587"/>
      <c r="C108" s="27">
        <v>150</v>
      </c>
      <c r="D108" s="28">
        <v>1.1499999761581421</v>
      </c>
      <c r="E108" s="28">
        <v>1.19</v>
      </c>
      <c r="F108" s="28">
        <v>1.23</v>
      </c>
      <c r="G108" s="28">
        <v>1.28</v>
      </c>
      <c r="H108" s="28">
        <v>1.32</v>
      </c>
      <c r="I108" s="28">
        <v>1.37</v>
      </c>
      <c r="J108" s="28">
        <v>1.41</v>
      </c>
      <c r="K108" s="29">
        <v>1.4600000381469727</v>
      </c>
      <c r="M108" s="587"/>
      <c r="N108" s="27">
        <v>150</v>
      </c>
      <c r="O108" s="28">
        <v>0.94999998807907104</v>
      </c>
      <c r="P108" s="28">
        <v>0.98</v>
      </c>
      <c r="Q108" s="28">
        <v>1.02</v>
      </c>
      <c r="R108" s="28">
        <v>1.05</v>
      </c>
      <c r="S108" s="28">
        <v>1.0900000000000001</v>
      </c>
      <c r="T108" s="28">
        <v>1.1200000000000001</v>
      </c>
      <c r="U108" s="28">
        <v>1.1599999999999999</v>
      </c>
      <c r="V108" s="29">
        <v>1.2000000476837158</v>
      </c>
    </row>
    <row r="109" spans="2:22">
      <c r="B109" s="587"/>
      <c r="C109" s="30">
        <v>160</v>
      </c>
      <c r="D109" s="31">
        <v>1.0800000429153442</v>
      </c>
      <c r="E109" s="31">
        <v>1.1200000000000001</v>
      </c>
      <c r="F109" s="31">
        <v>1.1599999999999999</v>
      </c>
      <c r="G109" s="31">
        <v>1.2</v>
      </c>
      <c r="H109" s="31">
        <v>1.24</v>
      </c>
      <c r="I109" s="31">
        <v>1.28</v>
      </c>
      <c r="J109" s="31">
        <v>1.32</v>
      </c>
      <c r="K109" s="32">
        <v>1.3600000143051147</v>
      </c>
      <c r="M109" s="587"/>
      <c r="N109" s="30">
        <v>160</v>
      </c>
      <c r="O109" s="31">
        <v>0.88999998569488525</v>
      </c>
      <c r="P109" s="31">
        <v>0.92</v>
      </c>
      <c r="Q109" s="31">
        <v>0.95</v>
      </c>
      <c r="R109" s="31">
        <v>0.98</v>
      </c>
      <c r="S109" s="31">
        <v>1.02</v>
      </c>
      <c r="T109" s="31">
        <v>1.05</v>
      </c>
      <c r="U109" s="31">
        <v>1.08</v>
      </c>
      <c r="V109" s="32">
        <v>1.1200000047683716</v>
      </c>
    </row>
    <row r="110" spans="2:22">
      <c r="B110" s="587"/>
      <c r="C110" s="27">
        <v>170</v>
      </c>
      <c r="D110" s="28">
        <v>1.0099999904632568</v>
      </c>
      <c r="E110" s="28">
        <v>1.04</v>
      </c>
      <c r="F110" s="28">
        <v>1.08</v>
      </c>
      <c r="G110" s="28">
        <v>1.1200000000000001</v>
      </c>
      <c r="H110" s="28">
        <v>1.1499999999999999</v>
      </c>
      <c r="I110" s="28">
        <v>1.19</v>
      </c>
      <c r="J110" s="28">
        <v>1.23</v>
      </c>
      <c r="K110" s="29">
        <v>1.2699999809265137</v>
      </c>
      <c r="M110" s="587"/>
      <c r="N110" s="27">
        <v>170</v>
      </c>
      <c r="O110" s="28">
        <v>0.81000000238418579</v>
      </c>
      <c r="P110" s="28">
        <v>0.84</v>
      </c>
      <c r="Q110" s="28">
        <v>0.87</v>
      </c>
      <c r="R110" s="28">
        <v>0.91</v>
      </c>
      <c r="S110" s="28">
        <v>0.94</v>
      </c>
      <c r="T110" s="28">
        <v>0.98</v>
      </c>
      <c r="U110" s="28">
        <v>1.01</v>
      </c>
      <c r="V110" s="29">
        <v>1.0499999523162842</v>
      </c>
    </row>
    <row r="111" spans="2:22">
      <c r="B111" s="587"/>
      <c r="C111" s="30">
        <v>180</v>
      </c>
      <c r="D111" s="31">
        <v>0.94999998807907104</v>
      </c>
      <c r="E111" s="31">
        <v>0.98</v>
      </c>
      <c r="F111" s="31">
        <v>1.01</v>
      </c>
      <c r="G111" s="31">
        <v>1.05</v>
      </c>
      <c r="H111" s="31">
        <v>1.08</v>
      </c>
      <c r="I111" s="31">
        <v>1.1200000000000001</v>
      </c>
      <c r="J111" s="31">
        <v>1.1499999999999999</v>
      </c>
      <c r="K111" s="32">
        <v>1.190000057220459</v>
      </c>
      <c r="M111" s="587"/>
      <c r="N111" s="30">
        <v>180</v>
      </c>
      <c r="O111" s="31" t="s">
        <v>114</v>
      </c>
      <c r="P111" s="31" t="s">
        <v>114</v>
      </c>
      <c r="Q111" s="31">
        <v>0.81000000238418579</v>
      </c>
      <c r="R111" s="31">
        <v>0.86000001430511475</v>
      </c>
      <c r="S111" s="31">
        <v>0.88999998569488525</v>
      </c>
      <c r="T111" s="31">
        <v>0.92000001668930054</v>
      </c>
      <c r="U111" s="31">
        <v>0.94999998807907104</v>
      </c>
      <c r="V111" s="32">
        <v>0.99000000953674316</v>
      </c>
    </row>
    <row r="112" spans="2:22">
      <c r="B112" s="587"/>
      <c r="C112" s="27">
        <v>190</v>
      </c>
      <c r="D112" s="28">
        <v>0.89999997615814209</v>
      </c>
      <c r="E112" s="28">
        <v>0.93</v>
      </c>
      <c r="F112" s="28">
        <v>0.96</v>
      </c>
      <c r="G112" s="28">
        <v>0.99</v>
      </c>
      <c r="H112" s="28">
        <v>1.03</v>
      </c>
      <c r="I112" s="28">
        <v>1.06</v>
      </c>
      <c r="J112" s="28">
        <v>1.0900000000000001</v>
      </c>
      <c r="K112" s="29">
        <v>1.1299999952316284</v>
      </c>
      <c r="M112" s="587"/>
      <c r="N112" s="27">
        <v>190</v>
      </c>
      <c r="O112" s="28" t="s">
        <v>114</v>
      </c>
      <c r="P112" s="28" t="s">
        <v>114</v>
      </c>
      <c r="Q112" s="28" t="s">
        <v>114</v>
      </c>
      <c r="R112" s="28" t="s">
        <v>114</v>
      </c>
      <c r="S112" s="28">
        <v>0.82999998331069946</v>
      </c>
      <c r="T112" s="28">
        <v>0.87000000476837158</v>
      </c>
      <c r="U112" s="28">
        <v>0.89999997615814209</v>
      </c>
      <c r="V112" s="29">
        <v>0.93000000715255737</v>
      </c>
    </row>
    <row r="113" spans="2:22" ht="15" thickBot="1">
      <c r="B113" s="588"/>
      <c r="C113" s="33">
        <v>200</v>
      </c>
      <c r="D113" s="34">
        <v>0.81000000238418579</v>
      </c>
      <c r="E113" s="34">
        <v>0.84</v>
      </c>
      <c r="F113" s="34">
        <v>0.88</v>
      </c>
      <c r="G113" s="35">
        <v>0.92</v>
      </c>
      <c r="H113" s="34">
        <v>0.95</v>
      </c>
      <c r="I113" s="34">
        <v>0.99</v>
      </c>
      <c r="J113" s="34">
        <v>1.03</v>
      </c>
      <c r="K113" s="36">
        <v>1.0700000524520874</v>
      </c>
      <c r="M113" s="588"/>
      <c r="N113" s="33">
        <v>200</v>
      </c>
      <c r="O113" s="34" t="s">
        <v>114</v>
      </c>
      <c r="P113" s="34" t="s">
        <v>114</v>
      </c>
      <c r="Q113" s="34" t="s">
        <v>114</v>
      </c>
      <c r="R113" s="35" t="s">
        <v>114</v>
      </c>
      <c r="S113" s="34" t="s">
        <v>114</v>
      </c>
      <c r="T113" s="34">
        <v>0.80000001192092896</v>
      </c>
      <c r="U113" s="34">
        <v>0.85000002384185791</v>
      </c>
      <c r="V113" s="36">
        <v>0.87999999523162842</v>
      </c>
    </row>
    <row r="114" spans="2:22" ht="15" thickBot="1"/>
    <row r="115" spans="2:22" ht="16" thickBot="1">
      <c r="B115" s="585" t="s">
        <v>475</v>
      </c>
      <c r="C115" s="578"/>
      <c r="D115" s="577" t="s">
        <v>462</v>
      </c>
      <c r="E115" s="577"/>
      <c r="F115" s="577"/>
      <c r="G115" s="577"/>
      <c r="H115" s="577"/>
      <c r="I115" s="577"/>
      <c r="J115" s="577"/>
      <c r="K115" s="578"/>
      <c r="M115" s="585" t="s">
        <v>475</v>
      </c>
      <c r="N115" s="578"/>
      <c r="O115" s="577" t="s">
        <v>462</v>
      </c>
      <c r="P115" s="577"/>
      <c r="Q115" s="577"/>
      <c r="R115" s="577"/>
      <c r="S115" s="577"/>
      <c r="T115" s="577"/>
      <c r="U115" s="577"/>
      <c r="V115" s="578"/>
    </row>
    <row r="116" spans="2:22">
      <c r="B116" s="568" t="s">
        <v>471</v>
      </c>
      <c r="C116" s="569" t="s">
        <v>463</v>
      </c>
      <c r="D116" s="579" t="s">
        <v>464</v>
      </c>
      <c r="E116" s="580"/>
      <c r="F116" s="580"/>
      <c r="G116" s="580"/>
      <c r="H116" s="580"/>
      <c r="I116" s="580"/>
      <c r="J116" s="580"/>
      <c r="K116" s="581"/>
      <c r="M116" s="568" t="s">
        <v>471</v>
      </c>
      <c r="N116" s="569" t="s">
        <v>463</v>
      </c>
      <c r="O116" s="579" t="s">
        <v>464</v>
      </c>
      <c r="P116" s="580"/>
      <c r="Q116" s="580"/>
      <c r="R116" s="580"/>
      <c r="S116" s="580"/>
      <c r="T116" s="580"/>
      <c r="U116" s="580"/>
      <c r="V116" s="581"/>
    </row>
    <row r="117" spans="2:22" ht="15" thickBot="1">
      <c r="B117" s="569"/>
      <c r="C117" s="569"/>
      <c r="D117" s="582"/>
      <c r="E117" s="583"/>
      <c r="F117" s="583"/>
      <c r="G117" s="583"/>
      <c r="H117" s="583"/>
      <c r="I117" s="583"/>
      <c r="J117" s="583"/>
      <c r="K117" s="584"/>
      <c r="M117" s="569"/>
      <c r="N117" s="569"/>
      <c r="O117" s="582"/>
      <c r="P117" s="583"/>
      <c r="Q117" s="583"/>
      <c r="R117" s="583"/>
      <c r="S117" s="583"/>
      <c r="T117" s="583"/>
      <c r="U117" s="583"/>
      <c r="V117" s="584"/>
    </row>
    <row r="118" spans="2:22" ht="15" thickBot="1">
      <c r="B118" s="570"/>
      <c r="C118" s="570"/>
      <c r="D118" s="22">
        <v>0</v>
      </c>
      <c r="E118" s="22">
        <v>500</v>
      </c>
      <c r="F118" s="22">
        <v>1000</v>
      </c>
      <c r="G118" s="22">
        <v>1500</v>
      </c>
      <c r="H118" s="22">
        <v>2000</v>
      </c>
      <c r="I118" s="22">
        <v>2500</v>
      </c>
      <c r="J118" s="22">
        <v>3000</v>
      </c>
      <c r="K118" s="23">
        <v>3500</v>
      </c>
      <c r="M118" s="570"/>
      <c r="N118" s="570"/>
      <c r="O118" s="22">
        <v>0</v>
      </c>
      <c r="P118" s="22">
        <v>500</v>
      </c>
      <c r="Q118" s="22">
        <v>1000</v>
      </c>
      <c r="R118" s="22">
        <v>1500</v>
      </c>
      <c r="S118" s="22">
        <v>2000</v>
      </c>
      <c r="T118" s="22">
        <v>2500</v>
      </c>
      <c r="U118" s="22">
        <v>3000</v>
      </c>
      <c r="V118" s="23">
        <v>3500</v>
      </c>
    </row>
    <row r="119" spans="2:22">
      <c r="B119" s="586" t="s">
        <v>472</v>
      </c>
      <c r="C119" s="24">
        <v>100</v>
      </c>
      <c r="D119" s="25">
        <v>1.8300000429153442</v>
      </c>
      <c r="E119" s="25">
        <v>1.8600000143051147</v>
      </c>
      <c r="F119" s="25">
        <v>1.8899999856948853</v>
      </c>
      <c r="G119" s="25">
        <v>1.9099999666213989</v>
      </c>
      <c r="H119" s="25">
        <v>1.9099999666213989</v>
      </c>
      <c r="I119" s="25">
        <v>1.9099999666213989</v>
      </c>
      <c r="J119" s="25">
        <v>1.9099999666213989</v>
      </c>
      <c r="K119" s="26">
        <v>1.9099999666213989</v>
      </c>
      <c r="M119" s="586" t="s">
        <v>473</v>
      </c>
      <c r="N119" s="24">
        <v>100</v>
      </c>
      <c r="O119" s="25">
        <v>1.6000000238418579</v>
      </c>
      <c r="P119" s="25">
        <v>1.64</v>
      </c>
      <c r="Q119" s="25">
        <v>1.68</v>
      </c>
      <c r="R119" s="25">
        <v>1.72</v>
      </c>
      <c r="S119" s="25">
        <v>1.77</v>
      </c>
      <c r="T119" s="25">
        <v>1.81</v>
      </c>
      <c r="U119" s="25">
        <v>1.85</v>
      </c>
      <c r="V119" s="26">
        <v>1.8999999761581421</v>
      </c>
    </row>
    <row r="120" spans="2:22">
      <c r="B120" s="587"/>
      <c r="C120" s="27">
        <v>110</v>
      </c>
      <c r="D120" s="28">
        <v>1.7000000476837158</v>
      </c>
      <c r="E120" s="28">
        <v>1.7400000095367432</v>
      </c>
      <c r="F120" s="28">
        <v>1.7799999713897705</v>
      </c>
      <c r="G120" s="28">
        <v>1.8200000524520874</v>
      </c>
      <c r="H120" s="28">
        <v>1.8500000238418579</v>
      </c>
      <c r="I120" s="28">
        <v>1.8799999952316284</v>
      </c>
      <c r="J120" s="28">
        <v>1.9099999666213989</v>
      </c>
      <c r="K120" s="29">
        <v>1.9099999666213989</v>
      </c>
      <c r="M120" s="587"/>
      <c r="N120" s="27">
        <v>110</v>
      </c>
      <c r="O120" s="28">
        <v>1.440000057220459</v>
      </c>
      <c r="P120" s="28">
        <v>1.48</v>
      </c>
      <c r="Q120" s="28">
        <v>1.53</v>
      </c>
      <c r="R120" s="28">
        <v>1.58</v>
      </c>
      <c r="S120" s="28">
        <v>1.63</v>
      </c>
      <c r="T120" s="28">
        <v>1.68</v>
      </c>
      <c r="U120" s="28">
        <v>1.73</v>
      </c>
      <c r="V120" s="29">
        <v>1.7799999713897705</v>
      </c>
    </row>
    <row r="121" spans="2:22">
      <c r="B121" s="587"/>
      <c r="C121" s="30">
        <v>120</v>
      </c>
      <c r="D121" s="31">
        <v>1.5900000333786011</v>
      </c>
      <c r="E121" s="31">
        <v>1.62</v>
      </c>
      <c r="F121" s="31">
        <v>1.66</v>
      </c>
      <c r="G121" s="31">
        <v>1.7</v>
      </c>
      <c r="H121" s="31">
        <v>1.74</v>
      </c>
      <c r="I121" s="31">
        <v>1.78</v>
      </c>
      <c r="J121" s="31">
        <v>1.82</v>
      </c>
      <c r="K121" s="32">
        <v>1.8600000143051147</v>
      </c>
      <c r="M121" s="587"/>
      <c r="N121" s="30">
        <v>120</v>
      </c>
      <c r="O121" s="31">
        <v>1.3200000524520874</v>
      </c>
      <c r="P121" s="31">
        <v>1.36</v>
      </c>
      <c r="Q121" s="31">
        <v>1.41</v>
      </c>
      <c r="R121" s="31">
        <v>1.46</v>
      </c>
      <c r="S121" s="31">
        <v>1.5</v>
      </c>
      <c r="T121" s="31">
        <v>1.55</v>
      </c>
      <c r="U121" s="31">
        <v>1.6</v>
      </c>
      <c r="V121" s="32">
        <v>1.6499999761581421</v>
      </c>
    </row>
    <row r="122" spans="2:22">
      <c r="B122" s="587"/>
      <c r="C122" s="27">
        <v>130</v>
      </c>
      <c r="D122" s="28">
        <v>1.4700000286102295</v>
      </c>
      <c r="E122" s="28">
        <v>1.51</v>
      </c>
      <c r="F122" s="28">
        <v>1.55</v>
      </c>
      <c r="G122" s="28">
        <v>1.59</v>
      </c>
      <c r="H122" s="28">
        <v>1.64</v>
      </c>
      <c r="I122" s="28">
        <v>1.68</v>
      </c>
      <c r="J122" s="28">
        <v>1.72</v>
      </c>
      <c r="K122" s="29">
        <v>1.7699999809265137</v>
      </c>
      <c r="M122" s="587"/>
      <c r="N122" s="27">
        <v>130</v>
      </c>
      <c r="O122" s="28">
        <v>1.2100000381469727</v>
      </c>
      <c r="P122" s="28">
        <v>1.25</v>
      </c>
      <c r="Q122" s="28">
        <v>1.29</v>
      </c>
      <c r="R122" s="28">
        <v>1.34</v>
      </c>
      <c r="S122" s="28">
        <v>1.38</v>
      </c>
      <c r="T122" s="28">
        <v>1.43</v>
      </c>
      <c r="U122" s="28">
        <v>1.47</v>
      </c>
      <c r="V122" s="29">
        <v>1.5199999809265137</v>
      </c>
    </row>
    <row r="123" spans="2:22">
      <c r="B123" s="587"/>
      <c r="C123" s="30">
        <v>140</v>
      </c>
      <c r="D123" s="31">
        <v>1.3500000238418579</v>
      </c>
      <c r="E123" s="31">
        <v>1.39</v>
      </c>
      <c r="F123" s="31">
        <v>1.43</v>
      </c>
      <c r="G123" s="31">
        <v>1.48</v>
      </c>
      <c r="H123" s="31">
        <v>1.52</v>
      </c>
      <c r="I123" s="31">
        <v>1.57</v>
      </c>
      <c r="J123" s="31">
        <v>1.61</v>
      </c>
      <c r="K123" s="32">
        <v>1.6599999666213989</v>
      </c>
      <c r="M123" s="587"/>
      <c r="N123" s="30">
        <v>140</v>
      </c>
      <c r="O123" s="31">
        <v>1.1200000047683716</v>
      </c>
      <c r="P123" s="31">
        <v>1.1599999999999999</v>
      </c>
      <c r="Q123" s="31">
        <v>1.19</v>
      </c>
      <c r="R123" s="31">
        <v>1.23</v>
      </c>
      <c r="S123" s="31">
        <v>1.27</v>
      </c>
      <c r="T123" s="31">
        <v>1.31</v>
      </c>
      <c r="U123" s="31">
        <v>1.35</v>
      </c>
      <c r="V123" s="32">
        <v>1.3999999761581421</v>
      </c>
    </row>
    <row r="124" spans="2:22">
      <c r="B124" s="587"/>
      <c r="C124" s="27">
        <v>150</v>
      </c>
      <c r="D124" s="28">
        <v>1.25</v>
      </c>
      <c r="E124" s="28">
        <v>1.29</v>
      </c>
      <c r="F124" s="28">
        <v>1.34</v>
      </c>
      <c r="G124" s="28">
        <v>1.39</v>
      </c>
      <c r="H124" s="28">
        <v>1.43</v>
      </c>
      <c r="I124" s="28">
        <v>1.48</v>
      </c>
      <c r="J124" s="28">
        <v>1.53</v>
      </c>
      <c r="K124" s="29">
        <v>1.5800000429153442</v>
      </c>
      <c r="M124" s="587"/>
      <c r="N124" s="27">
        <v>150</v>
      </c>
      <c r="O124" s="28">
        <v>1.0299999713897705</v>
      </c>
      <c r="P124" s="28">
        <v>1.06</v>
      </c>
      <c r="Q124" s="28">
        <v>1.1000000000000001</v>
      </c>
      <c r="R124" s="28">
        <v>1.1399999999999999</v>
      </c>
      <c r="S124" s="28">
        <v>1.18</v>
      </c>
      <c r="T124" s="28">
        <v>1.22</v>
      </c>
      <c r="U124" s="28">
        <v>1.26</v>
      </c>
      <c r="V124" s="29">
        <v>1.2999999523162842</v>
      </c>
    </row>
    <row r="125" spans="2:22">
      <c r="B125" s="587"/>
      <c r="C125" s="30">
        <v>160</v>
      </c>
      <c r="D125" s="31">
        <v>1.1799999475479126</v>
      </c>
      <c r="E125" s="31">
        <v>1.22</v>
      </c>
      <c r="F125" s="31">
        <v>1.26</v>
      </c>
      <c r="G125" s="31">
        <v>1.3</v>
      </c>
      <c r="H125" s="31">
        <v>1.35</v>
      </c>
      <c r="I125" s="31">
        <v>1.39</v>
      </c>
      <c r="J125" s="31">
        <v>1.43</v>
      </c>
      <c r="K125" s="32">
        <v>1.4800000190734863</v>
      </c>
      <c r="M125" s="587"/>
      <c r="N125" s="30">
        <v>160</v>
      </c>
      <c r="O125" s="31">
        <v>0.97000002861022949</v>
      </c>
      <c r="P125" s="31">
        <v>1</v>
      </c>
      <c r="Q125" s="31">
        <v>1.04</v>
      </c>
      <c r="R125" s="31">
        <v>1.07</v>
      </c>
      <c r="S125" s="31">
        <v>1.1100000000000001</v>
      </c>
      <c r="T125" s="31">
        <v>1.1399999999999999</v>
      </c>
      <c r="U125" s="31">
        <v>1.18</v>
      </c>
      <c r="V125" s="32">
        <v>1.2200000286102295</v>
      </c>
    </row>
    <row r="126" spans="2:22">
      <c r="B126" s="587"/>
      <c r="C126" s="27">
        <v>170</v>
      </c>
      <c r="D126" s="28">
        <v>1.1000000238418579</v>
      </c>
      <c r="E126" s="28">
        <v>1.1399999999999999</v>
      </c>
      <c r="F126" s="28">
        <v>1.18</v>
      </c>
      <c r="G126" s="28">
        <v>1.22</v>
      </c>
      <c r="H126" s="28">
        <v>1.26</v>
      </c>
      <c r="I126" s="28">
        <v>1.3</v>
      </c>
      <c r="J126" s="28">
        <v>1.33</v>
      </c>
      <c r="K126" s="29">
        <v>1.3799999952316284</v>
      </c>
      <c r="M126" s="587"/>
      <c r="N126" s="27">
        <v>170</v>
      </c>
      <c r="O126" s="28">
        <v>0.9100000262260437</v>
      </c>
      <c r="P126" s="28">
        <v>0.94</v>
      </c>
      <c r="Q126" s="28">
        <v>0.97</v>
      </c>
      <c r="R126" s="28">
        <v>1</v>
      </c>
      <c r="S126" s="28">
        <v>1.04</v>
      </c>
      <c r="T126" s="28">
        <v>1.07</v>
      </c>
      <c r="U126" s="28">
        <v>1.1000000000000001</v>
      </c>
      <c r="V126" s="29">
        <v>1.1399999856948853</v>
      </c>
    </row>
    <row r="127" spans="2:22">
      <c r="B127" s="587"/>
      <c r="C127" s="30">
        <v>180</v>
      </c>
      <c r="D127" s="31">
        <v>1.0299999713897705</v>
      </c>
      <c r="E127" s="31">
        <v>1.06</v>
      </c>
      <c r="F127" s="31">
        <v>1.1000000000000001</v>
      </c>
      <c r="G127" s="31">
        <v>1.1399999999999999</v>
      </c>
      <c r="H127" s="31">
        <v>1.18</v>
      </c>
      <c r="I127" s="31">
        <v>1.22</v>
      </c>
      <c r="J127" s="31">
        <v>1.26</v>
      </c>
      <c r="K127" s="32">
        <v>1.2999999523162842</v>
      </c>
      <c r="M127" s="587"/>
      <c r="N127" s="30">
        <v>180</v>
      </c>
      <c r="O127" s="31">
        <v>0.85000002384185791</v>
      </c>
      <c r="P127" s="31">
        <v>0.88</v>
      </c>
      <c r="Q127" s="31">
        <v>0.91</v>
      </c>
      <c r="R127" s="31">
        <v>0.94</v>
      </c>
      <c r="S127" s="31">
        <v>0.98</v>
      </c>
      <c r="T127" s="31">
        <v>1.01</v>
      </c>
      <c r="U127" s="31">
        <v>1.04</v>
      </c>
      <c r="V127" s="32">
        <v>1.0800000429153442</v>
      </c>
    </row>
    <row r="128" spans="2:22">
      <c r="B128" s="587"/>
      <c r="C128" s="27">
        <v>190</v>
      </c>
      <c r="D128" s="28">
        <v>0.98000001907348633</v>
      </c>
      <c r="E128" s="28">
        <v>1.01</v>
      </c>
      <c r="F128" s="28">
        <v>1.04</v>
      </c>
      <c r="G128" s="28">
        <v>1.08</v>
      </c>
      <c r="H128" s="28">
        <v>1.1100000000000001</v>
      </c>
      <c r="I128" s="28">
        <v>1.1499999999999999</v>
      </c>
      <c r="J128" s="28">
        <v>1.18</v>
      </c>
      <c r="K128" s="29">
        <v>1.2200000286102295</v>
      </c>
      <c r="M128" s="587"/>
      <c r="N128" s="27">
        <v>190</v>
      </c>
      <c r="O128" s="28" t="s">
        <v>114</v>
      </c>
      <c r="P128" s="28">
        <v>0.80000001192092896</v>
      </c>
      <c r="Q128" s="28">
        <v>0.86000001430511475</v>
      </c>
      <c r="R128" s="28">
        <v>0.88999998569488525</v>
      </c>
      <c r="S128" s="28">
        <v>0.9100000262260437</v>
      </c>
      <c r="T128" s="28">
        <v>0.93999999761581421</v>
      </c>
      <c r="U128" s="28">
        <v>0.97000002861022949</v>
      </c>
      <c r="V128" s="29">
        <v>1.0099999904632568</v>
      </c>
    </row>
    <row r="129" spans="2:22" ht="15" thickBot="1">
      <c r="B129" s="588"/>
      <c r="C129" s="33">
        <v>200</v>
      </c>
      <c r="D129" s="34">
        <v>0.93000000715255737</v>
      </c>
      <c r="E129" s="34">
        <v>0.96</v>
      </c>
      <c r="F129" s="34">
        <v>0.99</v>
      </c>
      <c r="G129" s="35">
        <v>1.02</v>
      </c>
      <c r="H129" s="34">
        <v>1.06</v>
      </c>
      <c r="I129" s="34">
        <v>1.0900000000000001</v>
      </c>
      <c r="J129" s="34">
        <v>1.1200000000000001</v>
      </c>
      <c r="K129" s="36">
        <v>1.1599999666213989</v>
      </c>
      <c r="M129" s="588"/>
      <c r="N129" s="33">
        <v>200</v>
      </c>
      <c r="O129" s="34" t="s">
        <v>114</v>
      </c>
      <c r="P129" s="34" t="s">
        <v>114</v>
      </c>
      <c r="Q129" s="34" t="s">
        <v>114</v>
      </c>
      <c r="R129" s="35">
        <v>0.81999999284744263</v>
      </c>
      <c r="S129" s="34">
        <v>0.86000001430511475</v>
      </c>
      <c r="T129" s="34">
        <v>0.88999998569488525</v>
      </c>
      <c r="U129" s="34">
        <v>0.92000001668930054</v>
      </c>
      <c r="V129" s="36">
        <v>0.95999997854232788</v>
      </c>
    </row>
  </sheetData>
  <mergeCells count="96">
    <mergeCell ref="M119:M129"/>
    <mergeCell ref="M99:N99"/>
    <mergeCell ref="O99:V99"/>
    <mergeCell ref="M100:M102"/>
    <mergeCell ref="N100:N102"/>
    <mergeCell ref="O100:V101"/>
    <mergeCell ref="M103:M113"/>
    <mergeCell ref="M115:N115"/>
    <mergeCell ref="O115:V115"/>
    <mergeCell ref="M116:M118"/>
    <mergeCell ref="N116:N118"/>
    <mergeCell ref="O116:V117"/>
    <mergeCell ref="M87:M97"/>
    <mergeCell ref="M67:N67"/>
    <mergeCell ref="O67:V67"/>
    <mergeCell ref="M68:M70"/>
    <mergeCell ref="N68:N70"/>
    <mergeCell ref="O68:V69"/>
    <mergeCell ref="M71:M81"/>
    <mergeCell ref="M83:N83"/>
    <mergeCell ref="O83:V83"/>
    <mergeCell ref="M84:M86"/>
    <mergeCell ref="N84:N86"/>
    <mergeCell ref="O84:V85"/>
    <mergeCell ref="B119:B129"/>
    <mergeCell ref="B99:C99"/>
    <mergeCell ref="D99:K99"/>
    <mergeCell ref="B100:B102"/>
    <mergeCell ref="C100:C102"/>
    <mergeCell ref="D100:K101"/>
    <mergeCell ref="B103:B113"/>
    <mergeCell ref="B115:C115"/>
    <mergeCell ref="D115:K115"/>
    <mergeCell ref="B116:B118"/>
    <mergeCell ref="C116:C118"/>
    <mergeCell ref="D116:K117"/>
    <mergeCell ref="B87:B97"/>
    <mergeCell ref="B67:C67"/>
    <mergeCell ref="D67:K67"/>
    <mergeCell ref="B68:B70"/>
    <mergeCell ref="C68:C70"/>
    <mergeCell ref="D68:K69"/>
    <mergeCell ref="B71:B81"/>
    <mergeCell ref="B83:C83"/>
    <mergeCell ref="D83:K83"/>
    <mergeCell ref="B84:B86"/>
    <mergeCell ref="C84:C86"/>
    <mergeCell ref="D84:K85"/>
    <mergeCell ref="M55:M65"/>
    <mergeCell ref="M35:N35"/>
    <mergeCell ref="O35:V35"/>
    <mergeCell ref="M36:M38"/>
    <mergeCell ref="N36:N38"/>
    <mergeCell ref="O36:V37"/>
    <mergeCell ref="M39:M49"/>
    <mergeCell ref="M51:N51"/>
    <mergeCell ref="O51:V51"/>
    <mergeCell ref="M52:M54"/>
    <mergeCell ref="N52:N54"/>
    <mergeCell ref="O52:V53"/>
    <mergeCell ref="M23:M33"/>
    <mergeCell ref="M3:N3"/>
    <mergeCell ref="O3:V3"/>
    <mergeCell ref="M4:M6"/>
    <mergeCell ref="N4:N6"/>
    <mergeCell ref="O4:V5"/>
    <mergeCell ref="M7:M17"/>
    <mergeCell ref="M19:N19"/>
    <mergeCell ref="O19:V19"/>
    <mergeCell ref="M20:M22"/>
    <mergeCell ref="N20:N22"/>
    <mergeCell ref="O20:V21"/>
    <mergeCell ref="B55:B65"/>
    <mergeCell ref="B35:C35"/>
    <mergeCell ref="D35:K35"/>
    <mergeCell ref="B36:B38"/>
    <mergeCell ref="C36:C38"/>
    <mergeCell ref="D36:K37"/>
    <mergeCell ref="B39:B49"/>
    <mergeCell ref="B51:C51"/>
    <mergeCell ref="D51:K51"/>
    <mergeCell ref="B52:B54"/>
    <mergeCell ref="C52:C54"/>
    <mergeCell ref="D52:K53"/>
    <mergeCell ref="B23:B33"/>
    <mergeCell ref="B3:C3"/>
    <mergeCell ref="D3:K3"/>
    <mergeCell ref="B4:B6"/>
    <mergeCell ref="C4:C6"/>
    <mergeCell ref="D4:K5"/>
    <mergeCell ref="B7:B17"/>
    <mergeCell ref="B19:C19"/>
    <mergeCell ref="D19:K19"/>
    <mergeCell ref="B20:B22"/>
    <mergeCell ref="C20:C22"/>
    <mergeCell ref="D20:K21"/>
  </mergeCells>
  <dataValidations count="3">
    <dataValidation type="list" allowBlank="1" showInputMessage="1" showErrorMessage="1" sqref="B4:B6 B20:B22 B36:B38 B52:B54 M4:M6 M20:M22 M36:M38 M52:M54 B68:B70 B84:B86 B100:B102 B116:B118 M68:M70 M84:M86 M100:M102 M116:M118" xr:uid="{00E562CA-C165-4701-9008-2229B01C2BAB}">
      <formula1>"Categoría de terreno 1,Categoría de terreno 2,Categoría de terreno 3,Categoría de terreno 4"</formula1>
    </dataValidation>
    <dataValidation type="list" allowBlank="1" showInputMessage="1" showErrorMessage="1" sqref="B7:B17 B23:B33 B39:B49 B55:B65 M7:M17 M23:M33 M39:M49 M55:M65 B71:B81 B87:B97 B103:B113 B119:B129 M71:M81 M87:M97 M103:M113 M119:M129" xr:uid="{4E00A025-F795-48F7-A8C1-1EA4BEEE7015}">
      <formula1>"*Inclinación del sistema 5°,*Inclinación del sistema 10°,*Inclinación del sistema 15°,*Inclinación del sistema 20°"</formula1>
    </dataValidation>
    <dataValidation type="list" allowBlank="1" showInputMessage="1" showErrorMessage="1" sqref="B3:C3 B19:C19 B35:C35 B51:C51 M3:N3 M19:N19 M35:N35 M51:N51 B67:C67 B83:C83 B99:C99 B115:C115 M67:N67 M83:N83 M99:N99 M115:N115" xr:uid="{EB648ADD-EC5E-44A4-87E9-B36BF464F0D6}">
      <formula1>"Zona sísmica A,Zona sísmica B,Zona sísmica C,Zona sísmica D,"</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0DF55-4DCF-4BB7-B3C3-62E44BD18FD3}">
  <sheetPr codeName="Hoja23"/>
  <dimension ref="B2:S65"/>
  <sheetViews>
    <sheetView topLeftCell="A27" workbookViewId="0">
      <selection activeCell="D23" sqref="D23"/>
    </sheetView>
  </sheetViews>
  <sheetFormatPr defaultColWidth="11.453125" defaultRowHeight="14.5"/>
  <cols>
    <col min="2" max="2" width="15.81640625" bestFit="1" customWidth="1"/>
    <col min="3" max="3" width="15.1796875" bestFit="1" customWidth="1"/>
    <col min="4" max="4" width="12.1796875" style="181" customWidth="1"/>
  </cols>
  <sheetData>
    <row r="2" spans="2:6">
      <c r="B2" s="592" t="s">
        <v>476</v>
      </c>
      <c r="C2" s="185" t="s">
        <v>477</v>
      </c>
      <c r="D2" s="188" cm="1">
        <f t="array" ref="D2">IF(AND('Datos de Proyecto'!C19=1,'Datos de Proyecto'!C17="A",'Datos de Proyecto'!D34&lt;=5,'Datos de Proyecto'!C16=90),INDEX('Zona A'!D7:K17*1.05,MATCH(100,'Zona A'!C7:C17,1),MATCH('Datos de Proyecto'!C18,'Zona A'!D6:K6,1)),IF(AND('Datos de Proyecto'!C19=1,'Datos de Proyecto'!C17="A",'Datos de Proyecto'!D34&lt;=5),INDEX('Zona A'!$D$7:$K$17,MATCH('Datos de Proyecto'!C16,'Zona A'!$C$7:$C$17,1),MATCH('Datos de Proyecto'!C18,'Zona A'!$D$6:$K$6,1)),0))</f>
        <v>0</v>
      </c>
    </row>
    <row r="3" spans="2:6">
      <c r="B3" s="593"/>
      <c r="C3" s="186" t="s">
        <v>478</v>
      </c>
      <c r="D3" s="192" cm="1">
        <f t="array" ref="D3">IF(AND('Datos de Proyecto'!C19=1,'Datos de Proyecto'!C17="A",'Datos de Proyecto'!D34&gt;5,'Datos de Proyecto'!D34&lt;=10,'Datos de Proyecto'!C16=90),INDEX('Zona A'!O7:V17*1.05,MATCH(100,'Zona A'!N7:N17,1),MATCH('Datos de Proyecto'!C18,'Zona A'!O6:V6,1)),IF(AND('Datos de Proyecto'!C19=1,'Datos de Proyecto'!C17="A",'Datos de Proyecto'!D34&gt;5,'Datos de Proyecto'!D34&lt;=10),INDEX('Zona A'!O7:V17,MATCH('Datos de Proyecto'!C16,'Zona A'!N7:N17,1),MATCH('Datos de Proyecto'!C18,'Zona A'!O6:V6,1)),0))</f>
        <v>0</v>
      </c>
    </row>
    <row r="4" spans="2:6">
      <c r="B4" s="593"/>
      <c r="C4" s="186" t="s">
        <v>479</v>
      </c>
      <c r="D4" s="190" cm="1">
        <f t="array" ref="D4">IF(AND('Datos de Proyecto'!C19=1,'Datos de Proyecto'!C17="A",'Datos de Proyecto'!D34&gt;10,'Datos de Proyecto'!D34&lt;=15,'Datos de Proyecto'!C16=90),INDEX('Zona A'!D71:K81*1.05,MATCH(100,'Zona A'!C71:C81,1),MATCH('Datos de Proyecto'!C18,'Zona A'!D70:K70,1)),IF(AND('Datos de Proyecto'!C19=1,'Datos de Proyecto'!C17="A",'Datos de Proyecto'!D34&gt;10,'Datos de Proyecto'!D34&lt;=15),INDEX('Zona A'!$D$71:$K$81,MATCH('Datos de Proyecto'!C16,'Zona A'!$C$71:$C$81,1),MATCH('Datos de Proyecto'!C18,'Zona A'!$D$70:$K$70,1)),0))</f>
        <v>0</v>
      </c>
    </row>
    <row r="5" spans="2:6">
      <c r="B5" s="593"/>
      <c r="C5" s="186" t="s">
        <v>480</v>
      </c>
      <c r="D5" s="191" cm="1">
        <f t="array" ref="D5">IF(AND('Datos de Proyecto'!C19=1,'Datos de Proyecto'!C17="A",'Datos de Proyecto'!D34&gt;15,'Datos de Proyecto'!C16=90),INDEX('Zona A'!O71:V81*1.05,MATCH(100,'Zona A'!N71:N81,1),MATCH('Datos de Proyecto'!C18,'Zona A'!O70:V70,1)),IF(AND('Datos de Proyecto'!C19=1,'Datos de Proyecto'!C17="A",'Datos de Proyecto'!D34&gt;15),INDEX('Zona A'!$O$71:$V$81,MATCH('Datos de Proyecto'!C16,'Zona A'!$N$71:$N$81,1),MATCH('Datos de Proyecto'!C18,'Zona A'!$O$70:$V$70,1)),0))</f>
        <v>0</v>
      </c>
    </row>
    <row r="6" spans="2:6" ht="15.5">
      <c r="B6" s="593"/>
      <c r="C6" s="186" t="s">
        <v>481</v>
      </c>
      <c r="D6" s="191" cm="1">
        <f t="array" ref="D6">IF(AND('Datos de Proyecto'!C19=2,'Datos de Proyecto'!C17="A",'Datos de Proyecto'!D34&lt;=5,'Datos de Proyecto'!C16=90),INDEX('Zona A'!D23:K33*1.05,MATCH(100,'Zona A'!C23:C33,1),MATCH('Datos de Proyecto'!C18,'Zona A'!D22:K22,1)),IF(AND('Datos de Proyecto'!C19=2,'Datos de Proyecto'!C17="A",'Datos de Proyecto'!D34&lt;=5),INDEX('Zona A'!D23:K33,MATCH('Datos de Proyecto'!C16,'Zona A'!C23:C33,1),MATCH('Datos de Proyecto'!C18,'Zona A'!D22:K22,1)),0))</f>
        <v>0</v>
      </c>
      <c r="F6" s="205" t="s">
        <v>482</v>
      </c>
    </row>
    <row r="7" spans="2:6" ht="15.5">
      <c r="B7" s="593"/>
      <c r="C7" s="186" t="s">
        <v>483</v>
      </c>
      <c r="D7" s="191" cm="1">
        <f t="array" ref="D7">IF(AND('Datos de Proyecto'!C19=2,'Datos de Proyecto'!C17="A",'Datos de Proyecto'!D34&gt;5,'Datos de Proyecto'!D34&lt;=10,'Datos de Proyecto'!C16=90),INDEX('Zona A'!O23:V33*1.05,MATCH(100,'Zona A'!N23:N33,1),MATCH('Datos de Proyecto'!C18,'Zona A'!O22:V22,1)),IF(AND('Datos de Proyecto'!C19=2,'Datos de Proyecto'!C17="A",'Datos de Proyecto'!D34&gt;5,'Datos de Proyecto'!D34&lt;=10),INDEX('Zona A'!$O$23:$V$33,MATCH('Datos de Proyecto'!C16,'Zona A'!$N$23:$N$33,1),MATCH('Datos de Proyecto'!C18,'Zona A'!$O$22:$V$22,1)),0))</f>
        <v>0</v>
      </c>
      <c r="F7" s="204">
        <f>MAX(D2:D65)</f>
        <v>1.4</v>
      </c>
    </row>
    <row r="8" spans="2:6">
      <c r="B8" s="593"/>
      <c r="C8" s="186" t="s">
        <v>484</v>
      </c>
      <c r="D8" s="190" cm="1">
        <f t="array" ref="D8">IF(AND('Datos de Proyecto'!C19=2,'Datos de Proyecto'!C17="A",'Datos de Proyecto'!D34&gt;10,'Datos de Proyecto'!D34&lt;=15,'Datos de Proyecto'!C16=90),INDEX('Zona A'!D87:K97*1.05,MATCH(100,'Zona A'!C87:C97,1),MATCH('Datos de Proyecto'!C18,'Zona A'!D86:K86,1)),IF(AND('Datos de Proyecto'!C19=2,'Datos de Proyecto'!C17="A",'Datos de Proyecto'!D34&gt;10,'Datos de Proyecto'!D34&lt;=15),INDEX('Zona A'!$D$87:$K$97,MATCH('Datos de Proyecto'!C16,'Zona A'!$C$87:$C$97,1),MATCH('Datos de Proyecto'!C18,'Zona A'!$D$86:$K$86,1)),0))</f>
        <v>0</v>
      </c>
    </row>
    <row r="9" spans="2:6">
      <c r="B9" s="593"/>
      <c r="C9" s="186" t="s">
        <v>485</v>
      </c>
      <c r="D9" s="190" cm="1">
        <f t="array" ref="D9">IF(AND('Datos de Proyecto'!C19=2,'Datos de Proyecto'!C17="A",'Datos de Proyecto'!D34&gt;15,'Datos de Proyecto'!C16=90),INDEX('Zona A'!O87:V97*1.05,MATCH(100,'Zona A'!N87:N97,1),MATCH('Datos de Proyecto'!C18,'Zona A'!O86:V86,1)),IF(AND('Datos de Proyecto'!C19=2,'Datos de Proyecto'!C17="A",'Datos de Proyecto'!D34&gt;15),INDEX('Zona A'!$O$87:$V$97,MATCH('Datos de Proyecto'!C16,'Zona A'!$N$87:$N$97,1),MATCH('Datos de Proyecto'!C18,'Zona A'!$O$86:$V$86,1)),0))</f>
        <v>0</v>
      </c>
    </row>
    <row r="10" spans="2:6">
      <c r="B10" s="593"/>
      <c r="C10" s="186" t="s">
        <v>486</v>
      </c>
      <c r="D10" s="192" cm="1">
        <f t="array" ref="D10">IF(AND('Datos de Proyecto'!C19=3,'Datos de Proyecto'!C17="A",'Datos de Proyecto'!D34&lt;=5,'Datos de Proyecto'!C16=90),INDEX('Zona A'!D39:K49*1.05,MATCH(100,'Zona A'!C39:C49,1),MATCH('Datos de Proyecto'!C18,'Zona A'!D38:K38,1)),IF(AND('Datos de Proyecto'!C19=3,'Datos de Proyecto'!C17="A",'Datos de Proyecto'!D34&lt;=5),INDEX('Zona A'!$D$39:$K$49,MATCH('Datos de Proyecto'!C16,'Zona A'!$C$39:$C$49,1),MATCH('Datos de Proyecto'!C18,'Zona A'!$D$38:$K$38,1)),0))</f>
        <v>0</v>
      </c>
    </row>
    <row r="11" spans="2:6">
      <c r="B11" s="593"/>
      <c r="C11" s="186" t="s">
        <v>487</v>
      </c>
      <c r="D11" s="189" cm="1">
        <f t="array" ref="D11">IF(AND('Datos de Proyecto'!C19=3,'Datos de Proyecto'!C17="A",'Datos de Proyecto'!D34&gt;5,'Datos de Proyecto'!D34&lt;=10,'Datos de Proyecto'!C16=90),INDEX('Zona A'!O39:V49*1.05,MATCH(100,'Zona A'!N39:N49,1),MATCH('Datos de Proyecto'!C18,'Zona A'!O38:V38,1)),IF(AND('Datos de Proyecto'!C19=3,'Datos de Proyecto'!C17="A",'Datos de Proyecto'!D34&gt;5,'Datos de Proyecto'!D34&lt;=10),INDEX('Zona A'!$O$39:$V$49,MATCH('Datos de Proyecto'!C16,'Zona A'!$N$39:$N$49,1),MATCH('Datos de Proyecto'!C18,'Zona A'!$O$38:$V$38,1)),0))</f>
        <v>0</v>
      </c>
    </row>
    <row r="12" spans="2:6">
      <c r="B12" s="593"/>
      <c r="C12" s="186" t="s">
        <v>488</v>
      </c>
      <c r="D12" s="190" cm="1">
        <f t="array" ref="D12">IF(AND('Datos de Proyecto'!C19=3,'Datos de Proyecto'!C17="A",'Datos de Proyecto'!D34&gt;10,'Datos de Proyecto'!D34&lt;=15,'Datos de Proyecto'!C16=90),INDEX('Zona A'!D103:K113*1.05,MATCH(100,'Zona A'!C103:C113,1),MATCH('Datos de Proyecto'!C18,'Zona A'!D102:K102,1)),IF(AND('Datos de Proyecto'!C19=3,'Datos de Proyecto'!C17="A",'Datos de Proyecto'!D34&gt;10,'Datos de Proyecto'!D34&lt;=15),INDEX('Zona A'!$D$103:$K$113,MATCH('Datos de Proyecto'!C16,'Zona A'!$C$103:$C$113,1),MATCH('Datos de Proyecto'!C18,'Zona A'!$D$102:$K$102,1)),0))</f>
        <v>0</v>
      </c>
    </row>
    <row r="13" spans="2:6">
      <c r="B13" s="593"/>
      <c r="C13" s="186" t="s">
        <v>489</v>
      </c>
      <c r="D13" s="190" cm="1">
        <f t="array" ref="D13">IF(AND('Datos de Proyecto'!C19=3,'Datos de Proyecto'!C17="A",'Datos de Proyecto'!D34&gt;15,'Datos de Proyecto'!C16=90),INDEX('Zona A'!O103:V113*1.05,MATCH(100,'Zona A'!N103:N113,1),MATCH('Datos de Proyecto'!C18,'Zona A'!O102:V102,1)),IF(AND('Datos de Proyecto'!C19=3,'Datos de Proyecto'!C17="A",'Datos de Proyecto'!D34&gt;15),INDEX('Zona A'!$O$103:$V$113,MATCH('Datos de Proyecto'!C16,'Zona A'!$N$103:$N$113,1),MATCH('Datos de Proyecto'!C18,'Zona A'!$O$102:$V$102,1)),0))</f>
        <v>0</v>
      </c>
    </row>
    <row r="14" spans="2:6">
      <c r="B14" s="593"/>
      <c r="C14" s="186" t="s">
        <v>490</v>
      </c>
      <c r="D14" s="189" cm="1">
        <f t="array" ref="D14">IF(AND('Datos de Proyecto'!C19=4,'Datos de Proyecto'!C17="A",'Datos de Proyecto'!D34&lt;=5,'Datos de Proyecto'!C16=90),INDEX('Zona A'!D55:K65*1.05,MATCH(100,'Zona A'!C55:C65,1),MATCH('Datos de Proyecto'!C18,'Zona A'!D54:K54,1)),IF(AND('Datos de Proyecto'!C19=4,'Datos de Proyecto'!C17="A",'Datos de Proyecto'!D34&lt;=5),INDEX('Zona A'!$D$55:$K$65,MATCH('Datos de Proyecto'!C16,'Zona A'!$C$55:$C$65,1),MATCH('Datos de Proyecto'!C18,'Zona A'!$D$54:$K$54,1)),0))</f>
        <v>0</v>
      </c>
    </row>
    <row r="15" spans="2:6">
      <c r="B15" s="593"/>
      <c r="C15" s="186" t="s">
        <v>491</v>
      </c>
      <c r="D15" s="190" cm="1">
        <f t="array" ref="D15">IF(AND('Datos de Proyecto'!C19=4,'Datos de Proyecto'!C17="A",'Datos de Proyecto'!D34&gt;5,'Datos de Proyecto'!D34&lt;=10,'Datos de Proyecto'!C16=90),INDEX('Zona A'!O55:V65*1.05,MATCH(100,'Zona A'!N55:N65,1),MATCH('Datos de Proyecto'!C18,'Zona A'!O54:V54,1)),IF(AND('Datos de Proyecto'!C19=4,'Datos de Proyecto'!C17="A",'Datos de Proyecto'!D34&gt;5,'Datos de Proyecto'!D34&lt;=10),INDEX('Zona A'!$O$55:$V$65,MATCH('Datos de Proyecto'!C16,'Zona A'!$N$55:$N$65,1),MATCH('Datos de Proyecto'!C18,'Zona A'!$O$54:$V$54,1)),0))</f>
        <v>0</v>
      </c>
    </row>
    <row r="16" spans="2:6">
      <c r="B16" s="593"/>
      <c r="C16" s="186" t="s">
        <v>492</v>
      </c>
      <c r="D16" s="190" cm="1">
        <f t="array" ref="D16">IF(AND('Datos de Proyecto'!C19=4,'Datos de Proyecto'!C17="A",'Datos de Proyecto'!D34&gt;10,'Datos de Proyecto'!D34&lt;=15,'Datos de Proyecto'!C16=90),INDEX('Zona A'!D119:K129*1.05,MATCH(100,'Zona A'!C119:C129,1),MATCH('Datos de Proyecto'!C18,'Zona A'!D118:K118,1)),IF(AND('Datos de Proyecto'!C19=4,'Datos de Proyecto'!C17="A",'Datos de Proyecto'!D34&gt;10,'Datos de Proyecto'!D34&lt;=15),INDEX('Zona A'!$D$119:$K$129,MATCH('Datos de Proyecto'!C16,'Zona A'!$C$119:$C$129,1),MATCH('Datos de Proyecto'!C18,'Zona A'!$D$118:$K$118,1)),0))</f>
        <v>0</v>
      </c>
    </row>
    <row r="17" spans="2:19">
      <c r="B17" s="594"/>
      <c r="C17" s="187" t="s">
        <v>493</v>
      </c>
      <c r="D17" s="198" cm="1">
        <f t="array" ref="D17">IF(AND('Datos de Proyecto'!C19=4,'Datos de Proyecto'!C17="A",'Datos de Proyecto'!D34&gt;15,'Datos de Proyecto'!C16=90),INDEX('Zona A'!O119:V129*1.05,MATCH(100,'Zona A'!N119:N129,1),MATCH('Datos de Proyecto'!C18,'Zona A'!O118:V118,1)),IF(AND('Datos de Proyecto'!C19=4,'Datos de Proyecto'!C17="A",'Datos de Proyecto'!D34&gt;15),INDEX('Zona A'!$O$119:$V$129,MATCH('Datos de Proyecto'!C16,'Zona A'!$N$119:$N$129,1),MATCH('Datos de Proyecto'!C18,'Zona A'!$O$118:$V$118,1)),0))</f>
        <v>0</v>
      </c>
    </row>
    <row r="18" spans="2:19">
      <c r="B18" s="592" t="s">
        <v>494</v>
      </c>
      <c r="C18" s="185" t="s">
        <v>477</v>
      </c>
      <c r="D18" s="199" cm="1">
        <f t="array" ref="D18">IF(AND('Datos de Proyecto'!C19=1,'Datos de Proyecto'!C17="B",'Datos de Proyecto'!D34&lt;=5,'Datos de Proyecto'!C16=90),INDEX('Zona B'!D7:K17*1.05,MATCH(100,'Zona B'!C7:C17,1),MATCH('Datos de Proyecto'!C18,'Zona B'!D6:K6,1)),IF(AND('Datos de Proyecto'!C19=1,'Datos de Proyecto'!C17="B",'Datos de Proyecto'!D34&lt;=5),INDEX('Zona B'!$D$7:$K$17,MATCH('Datos de Proyecto'!C16,'Zona B'!$C$7:$C$17,1),MATCH('Datos de Proyecto'!C18,'Zona B'!$D$6:$K$6,1)),0))</f>
        <v>0</v>
      </c>
      <c r="E18" s="91"/>
    </row>
    <row r="19" spans="2:19">
      <c r="B19" s="593"/>
      <c r="C19" s="186" t="s">
        <v>478</v>
      </c>
      <c r="D19" s="193" cm="1">
        <f t="array" ref="D19">IF(AND('Datos de Proyecto'!C19=1,'Datos de Proyecto'!C17="B",'Datos de Proyecto'!D34&gt;5,'Datos de Proyecto'!D34&lt;=10,'Datos de Proyecto'!C16=90),INDEX('Zona B'!O7:V17*1.05,MATCH(100,'Zona B'!N7:N17,1),MATCH('Datos de Proyecto'!C18,'Zona B'!O6:V6,1)),IF(AND('Datos de Proyecto'!C19=1,'Datos de Proyecto'!C17="B",'Datos de Proyecto'!D34&gt;5,'Datos de Proyecto'!D34&lt;=10),INDEX('Zona B'!$O$7:$V$17,MATCH('Datos de Proyecto'!C16,'Zona B'!$N$7:$N$17,1),MATCH('Datos de Proyecto'!C18,'Zona B'!$O$6:$V$6,1)),0))</f>
        <v>0</v>
      </c>
      <c r="E19" s="91"/>
    </row>
    <row r="20" spans="2:19">
      <c r="B20" s="593"/>
      <c r="C20" s="186" t="s">
        <v>479</v>
      </c>
      <c r="D20" s="193" cm="1">
        <f t="array" ref="D20">IF(AND('Datos de Proyecto'!C19=1,'Datos de Proyecto'!C17="B",'Datos de Proyecto'!D34&gt;10,'Datos de Proyecto'!D34&lt;=15,'Datos de Proyecto'!C16=90),INDEX('Zona B'!D71:K81*1.05,MATCH(100,'Zona B'!C71:C81,1),MATCH('Datos de Proyecto'!C18,'Zona B'!D70:K70,1)),IF(AND('Datos de Proyecto'!C19=1,'Datos de Proyecto'!C17="B",'Datos de Proyecto'!D34&gt;10,'Datos de Proyecto'!D34&lt;=15),INDEX('Zona B'!$D$71:$K$81,MATCH('Datos de Proyecto'!C16,'Zona B'!$C$71:$C$81,1),MATCH('Datos de Proyecto'!C18,'Zona B'!$D$70:$K$70,1)),0))</f>
        <v>0</v>
      </c>
      <c r="E20" s="91"/>
    </row>
    <row r="21" spans="2:19">
      <c r="B21" s="593"/>
      <c r="C21" s="186" t="s">
        <v>480</v>
      </c>
      <c r="D21" s="193" cm="1">
        <f t="array" ref="D21">IF(AND('Datos de Proyecto'!C19=1,'Datos de Proyecto'!C17="B",'Datos de Proyecto'!D34&gt;15,'Datos de Proyecto'!C16=90),INDEX('Zona B'!O87:V97*1.05,MATCH(100,'Zona B'!N87:N97,1),MATCH('Datos de Proyecto'!C18,'Zona B'!O86:V86,1)),IF(AND('Datos de Proyecto'!C19=1,'Datos de Proyecto'!C17="B",'Datos de Proyecto'!D34&gt;15),INDEX('Zona B'!$O$71:$V$81,MATCH('Datos de Proyecto'!C16,'Zona B'!$N$71:$N$81,1),MATCH('Datos de Proyecto'!C18,'Zona B'!$O$70:$V$70,1)),0))</f>
        <v>0</v>
      </c>
      <c r="E21" s="91"/>
    </row>
    <row r="22" spans="2:19">
      <c r="B22" s="593"/>
      <c r="C22" s="186" t="s">
        <v>481</v>
      </c>
      <c r="D22" s="193" cm="1">
        <f t="array" ref="D22">IF(AND('Datos de Proyecto'!C19=2,'Datos de Proyecto'!C17="B",'Datos de Proyecto'!D34&lt;=5,'Datos de Proyecto'!C16=90),INDEX('Zona B'!D23:K33*1.05,MATCH(100,'Zona B'!C7:C17,1),MATCH('Datos de Proyecto'!C18,'Zona B'!D22:K22,1)),IF(AND('Datos de Proyecto'!C19=2,'Datos de Proyecto'!C17="B",'Datos de Proyecto'!D34&lt;=5),INDEX('Zona B'!D23:K33,MATCH('Datos de Proyecto'!C16,'Zona B'!C23:C33,1),MATCH('Datos de Proyecto'!C18,'Zona B'!$D$22:$K$22,1)),0))</f>
        <v>0</v>
      </c>
      <c r="E22" s="91"/>
    </row>
    <row r="23" spans="2:19">
      <c r="B23" s="593"/>
      <c r="C23" s="186" t="s">
        <v>483</v>
      </c>
      <c r="D23" s="193" cm="1">
        <f t="array" ref="D23">IF(AND('Datos de Proyecto'!C19=2,'Datos de Proyecto'!C17="B",'Datos de Proyecto'!D34&gt;5,'Datos de Proyecto'!D34&lt;=10,'Datos de Proyecto'!C16=90),INDEX('Zona B'!O23:V33*1.05,MATCH(100,'Zona B'!N23:N33,1),MATCH('Datos de Proyecto'!C18,'Zona B'!O22:V22,1)),IF(AND('Datos de Proyecto'!C19=2,'Datos de Proyecto'!C17="B",'Datos de Proyecto'!D34&gt;5,'Datos de Proyecto'!D34&lt;=10),INDEX('Zona B'!$O$23:$V$33,MATCH('Datos de Proyecto'!C16,'Zona B'!$N$23:$N$33,1),MATCH('Datos de Proyecto'!C18,'Zona B'!$O$22:$V$22,1)),0))</f>
        <v>0</v>
      </c>
      <c r="E23" s="91"/>
    </row>
    <row r="24" spans="2:19">
      <c r="B24" s="593"/>
      <c r="C24" s="186" t="s">
        <v>484</v>
      </c>
      <c r="D24" s="193" cm="1">
        <f t="array" ref="D24">IF(AND('Datos de Proyecto'!C19=2,'Datos de Proyecto'!C17="B",'Datos de Proyecto'!D34&gt;10,'Datos de Proyecto'!D34&lt;=15,'Datos de Proyecto'!C16=90),INDEX('Zona B'!D87:K97*1.05,MATCH(100,'Zona B'!C87:C97,1),MATCH('Datos de Proyecto'!C18,'Zona B'!D86:K86,1)),IF(AND('Datos de Proyecto'!C19=2,'Datos de Proyecto'!C17="B",'Datos de Proyecto'!D34&gt;10,'Datos de Proyecto'!D34&lt;=15),INDEX('Zona B'!$D$87:$K$97,MATCH('Datos de Proyecto'!C16,'Zona B'!$C$87:$C$97,1),MATCH('Datos de Proyecto'!C18,'Zona B'!$D$86:$K$86,1)),0))</f>
        <v>0</v>
      </c>
      <c r="E24" s="91"/>
    </row>
    <row r="25" spans="2:19">
      <c r="B25" s="593"/>
      <c r="C25" s="186" t="s">
        <v>485</v>
      </c>
      <c r="D25" s="193" cm="1">
        <f t="array" ref="D25">IF(AND('Datos de Proyecto'!C19=2,'Datos de Proyecto'!C17="B",'Datos de Proyecto'!D34&gt;15,'Datos de Proyecto'!C16=90),INDEX('Zona B'!O87:V97*1.05,MATCH(100,'Zona B'!N87:N97,1),MATCH('Datos de Proyecto'!C18,'Zona B'!O86:V86,1)),IF(AND('Datos de Proyecto'!C19=2,'Datos de Proyecto'!C17="B",'Datos de Proyecto'!D34&gt;15),INDEX('Zona B'!$O$87:$V$97,MATCH('Datos de Proyecto'!C16,'Zona B'!$N$87:$N$97,1),MATCH('Datos de Proyecto'!C18,'Zona B'!$O$86:$V$86,1)),0))</f>
        <v>0</v>
      </c>
      <c r="E25" s="91"/>
    </row>
    <row r="26" spans="2:19">
      <c r="B26" s="593"/>
      <c r="C26" s="186" t="s">
        <v>486</v>
      </c>
      <c r="D26" s="193" cm="1">
        <f t="array" ref="D26">IF(AND('Datos de Proyecto'!C19=3,'Datos de Proyecto'!C17="B",'Datos de Proyecto'!D34&lt;=5,'Datos de Proyecto'!C16=90),INDEX('Zona B'!D39:K49*1.05,MATCH(100,'Zona B'!C39:C49,1),MATCH('Datos de Proyecto'!C18,'Zona B'!D38:K38,1)),IF(AND('Datos de Proyecto'!C19=3,'Datos de Proyecto'!C17="B",'Datos de Proyecto'!D34&lt;=5),INDEX('Zona B'!$D$39:$K$49,MATCH('Datos de Proyecto'!C16,'Zona B'!$C$39:$C$49,1),MATCH('Datos de Proyecto'!C18,'Zona B'!$D$38:$K$38,1)),0))</f>
        <v>0</v>
      </c>
      <c r="E26" s="91"/>
    </row>
    <row r="27" spans="2:19">
      <c r="B27" s="593"/>
      <c r="C27" s="186" t="s">
        <v>487</v>
      </c>
      <c r="D27" s="193" cm="1">
        <f t="array" ref="D27">IF(AND('Datos de Proyecto'!C19=3,'Datos de Proyecto'!C17="B",'Datos de Proyecto'!D34&gt;5,'Datos de Proyecto'!D34&lt;=10,'Datos de Proyecto'!C16=90),INDEX('Zona B'!O39:V49*1.05,MATCH(100,'Zona B'!N39:N49,1),MATCH('Datos de Proyecto'!C18,'Zona B'!O38:V38,1)),IF(AND('Datos de Proyecto'!C19=3,'Datos de Proyecto'!C17="B",'Datos de Proyecto'!D34&gt;5,'Datos de Proyecto'!D34&lt;=10),INDEX('Zona B'!$O$39:$V$49,MATCH('Datos de Proyecto'!C16,'Zona B'!$N$39:$N$49,1),MATCH('Datos de Proyecto'!C18,'Zona B'!$O$38:$V$38,1)),0))</f>
        <v>0</v>
      </c>
      <c r="E27" s="251"/>
    </row>
    <row r="28" spans="2:19">
      <c r="B28" s="593"/>
      <c r="C28" s="186" t="s">
        <v>488</v>
      </c>
      <c r="D28" s="193" cm="1">
        <f t="array" ref="D28">IF(AND('Datos de Proyecto'!C19=3,'Datos de Proyecto'!C17="B",'Datos de Proyecto'!D34&gt;10,'Datos de Proyecto'!D34&lt;=15,'Datos de Proyecto'!C16=90),INDEX('Zona B'!O39:V49*1.05,MATCH(100,'Zona B'!N39:N49,1),MATCH('Datos de Proyecto'!C18,'Zona B'!O38:V38,1)),IF(AND('Datos de Proyecto'!C19=3,'Datos de Proyecto'!C17="B",'Datos de Proyecto'!D34&gt;10,'Datos de Proyecto'!D34&lt;=15),INDEX('Zona B'!$D$103:$K$113,MATCH('Datos de Proyecto'!C16,'Zona B'!$C$103:$C$113,1),MATCH('Datos de Proyecto'!C18,'Zona B'!$D$102:$K$102,1)),0))</f>
        <v>0</v>
      </c>
      <c r="E28" s="91"/>
      <c r="S28" t="s">
        <v>495</v>
      </c>
    </row>
    <row r="29" spans="2:19">
      <c r="B29" s="593"/>
      <c r="C29" s="186" t="s">
        <v>489</v>
      </c>
      <c r="D29" s="193" cm="1">
        <f t="array" ref="D29">IF(AND('Datos de Proyecto'!C19=3,'Datos de Proyecto'!C17="B",'Datos de Proyecto'!D34&gt;15,'Datos de Proyecto'!C16=90),INDEX('Zona B'!D103:K113*1.05,MATCH(100,'Zona B'!C103:C113,1),MATCH('Datos de Proyecto'!C18,'Zona B'!D102:K102,1)),IF(AND('Datos de Proyecto'!C19=3,'Datos de Proyecto'!C17="B",'Datos de Proyecto'!D34&gt;15),INDEX('Zona B'!O103:V113,MATCH('Datos de Proyecto'!C16,'Zona B'!N103:N113,1),MATCH('Datos de Proyecto'!C18,'Zona B'!O102:V102,1)),0))</f>
        <v>0</v>
      </c>
      <c r="E29" s="91"/>
    </row>
    <row r="30" spans="2:19">
      <c r="B30" s="593"/>
      <c r="C30" s="186" t="s">
        <v>490</v>
      </c>
      <c r="D30" s="193" cm="1">
        <f t="array" ref="D30">IF(AND('Datos de Proyecto'!C19=4,'Datos de Proyecto'!C17="B",'Datos de Proyecto'!D34&lt;=5,'Datos de Proyecto'!C16=90),INDEX('Zona B'!D55:K65*1.05,MATCH(100,'Zona B'!C55:C65,1),MATCH('Datos de Proyecto'!C18,'Zona B'!D54:K54,1)),IF(AND('Datos de Proyecto'!C19=4,'Datos de Proyecto'!C17="B",'Datos de Proyecto'!D34&lt;=5),INDEX('Zona B'!$D$55:$K$65,MATCH('Datos de Proyecto'!C16,'Zona B'!$C$55:$C$65,1),MATCH('Datos de Proyecto'!C18,'Zona B'!$D$54:$K$54,1)),0))</f>
        <v>0</v>
      </c>
      <c r="E30" s="91"/>
    </row>
    <row r="31" spans="2:19">
      <c r="B31" s="593"/>
      <c r="C31" s="186" t="s">
        <v>491</v>
      </c>
      <c r="D31" s="193" cm="1">
        <f t="array" ref="D31">IF(AND('Datos de Proyecto'!C19=4,'Datos de Proyecto'!C17="B",'Datos de Proyecto'!D34&gt;5,'Datos de Proyecto'!D34&lt;=10,'Datos de Proyecto'!C16=90),INDEX('Zona B'!O55:V65*1.05,MATCH(100,'Zona B'!N55:N65,1),MATCH('Datos de Proyecto'!C18,'Zona B'!O54:V54,1)),IF(AND('Datos de Proyecto'!C19=4,'Datos de Proyecto'!C17="B",'Datos de Proyecto'!D34&gt;5,'Datos de Proyecto'!D34&lt;=10),INDEX('Zona B'!O55:V65,MATCH('Datos de Proyecto'!C16,'Zona B'!N55:N65,1),MATCH('Datos de Proyecto'!C18,'Zona B'!O54:V54,1)),0))</f>
        <v>0</v>
      </c>
      <c r="E31" s="91"/>
    </row>
    <row r="32" spans="2:19">
      <c r="B32" s="593"/>
      <c r="C32" s="186" t="s">
        <v>492</v>
      </c>
      <c r="D32" s="193" cm="1">
        <f t="array" ref="D32">IF(AND('Datos de Proyecto'!C19=4,'Datos de Proyecto'!C17="B",'Datos de Proyecto'!D34&gt;10,'Datos de Proyecto'!D34&lt;=15,'Datos de Proyecto'!C16=90),INDEX('Zona B'!D119:K129*1.05,MATCH(100,'Zona B'!C119:C129,1),MATCH('Datos de Proyecto'!C18,'Zona B'!D118:K118,1)),IF(AND('Datos de Proyecto'!C19=4,'Datos de Proyecto'!C17="B",'Datos de Proyecto'!D34&gt;10,'Datos de Proyecto'!D34&lt;=15),INDEX('Zona B'!$D$119:$K$129,MATCH('Datos de Proyecto'!C16,'Zona B'!$C$119:$C$129,1),MATCH('Datos de Proyecto'!C18,'Zona B'!$D$118:$K$118,1)),0))</f>
        <v>0</v>
      </c>
      <c r="E32" s="91"/>
    </row>
    <row r="33" spans="2:5">
      <c r="B33" s="594"/>
      <c r="C33" s="187" t="s">
        <v>493</v>
      </c>
      <c r="D33" s="200" cm="1">
        <f t="array" ref="D33">IF(AND('Datos de Proyecto'!C19=4,'Datos de Proyecto'!C17="B",'Datos de Proyecto'!D34&gt;15,'Datos de Proyecto'!C16=90),INDEX('Zona B'!O119:V129*1.05,MATCH(100,'Zona B'!N119:N129,1),MATCH('Datos de Proyecto'!C18,'Zona B'!O118:V118,1)),IF(AND('Datos de Proyecto'!C19=4,'Datos de Proyecto'!C17="B",'Datos de Proyecto'!D34&gt;15),INDEX('Zona B'!$O$119:$V$129,MATCH('Datos de Proyecto'!C16,'Zona B'!$N$119:$N$129,1),MATCH('Datos de Proyecto'!C18,'Zona B'!$O$118:$V$118,1)),0))</f>
        <v>0</v>
      </c>
      <c r="E33" s="91"/>
    </row>
    <row r="34" spans="2:5">
      <c r="B34" s="592" t="s">
        <v>496</v>
      </c>
      <c r="C34" s="185" t="s">
        <v>477</v>
      </c>
      <c r="D34" s="201" cm="1">
        <f t="array" ref="D34">IF(AND('Datos de Proyecto'!C19=1,'Datos de Proyecto'!C17="C",'Datos de Proyecto'!D34&lt;=5,'Datos de Proyecto'!C16=90),INDEX('Zona C'!D7:K17*1.05,MATCH(100,'Zona C'!C7:C17,1),MATCH('Datos de Proyecto'!C18,'Zona C'!D6:K6,1)),IF(AND('Datos de Proyecto'!C19=1,'Datos de Proyecto'!C17="C",'Datos de Proyecto'!D34&lt;=5),INDEX('Zona C'!$D$7:$K$17,MATCH('Datos de Proyecto'!C16,'Zona C'!$C$7:$C$17,1),MATCH('Datos de Proyecto'!C18,'Zona C'!$D$6:$K$6,1)),0))</f>
        <v>0</v>
      </c>
      <c r="E34" s="91"/>
    </row>
    <row r="35" spans="2:5">
      <c r="B35" s="593"/>
      <c r="C35" s="186" t="s">
        <v>478</v>
      </c>
      <c r="D35" s="194" cm="1">
        <f t="array" ref="D35">IF(AND('Datos de Proyecto'!C19=1,'Datos de Proyecto'!C17="C",'Datos de Proyecto'!D34&gt;5,'Datos de Proyecto'!D34&lt;=10,'Datos de Proyecto'!C16=90),INDEX('Zona C'!O7:V17*1.05,MATCH(100,'Zona C'!N7:N17,1),MATCH('Datos de Proyecto'!C18,'Zona C'!O6:V6,1)),IF(AND('Datos de Proyecto'!C19=1,'Datos de Proyecto'!C17="C",'Datos de Proyecto'!D34&gt;5,'Datos de Proyecto'!D34&lt;=10),INDEX('Zona C'!$O$7:$V$17,MATCH('Datos de Proyecto'!C16,'Zona C'!$N$7:$N$17,1),MATCH('Datos de Proyecto'!C18,'Zona C'!$O$6:$V$6,1)),0))</f>
        <v>0</v>
      </c>
      <c r="E35" s="91"/>
    </row>
    <row r="36" spans="2:5">
      <c r="B36" s="593"/>
      <c r="C36" s="186" t="s">
        <v>479</v>
      </c>
      <c r="D36" s="190" cm="1">
        <f t="array" ref="D36">IF(AND('Datos de Proyecto'!C19=1,'Datos de Proyecto'!C17="C",'Datos de Proyecto'!D34&gt;10,'Datos de Proyecto'!D34&lt;=15,'Datos de Proyecto'!C16=90),INDEX('Zona C'!D71:K81*1.05,MATCH(100,'Zona C'!C71:C81,1),MATCH('Datos de Proyecto'!C18,'Zona C'!D70:K70,1)),IF(AND('Datos de Proyecto'!C19=1,'Datos de Proyecto'!C17="C",'Datos de Proyecto'!D34&gt;10,'Datos de Proyecto'!D34&lt;=15),INDEX('Zona C'!$D$71:$K$81,MATCH('Datos de Proyecto'!C16,'Zona C'!$C$71:$C$81,1),MATCH('Datos de Proyecto'!C18,'Zona C'!$D$70:$K$70,1)),0))</f>
        <v>0</v>
      </c>
      <c r="E36" s="91"/>
    </row>
    <row r="37" spans="2:5">
      <c r="B37" s="593"/>
      <c r="C37" s="186" t="s">
        <v>480</v>
      </c>
      <c r="D37" s="190" cm="1">
        <f t="array" ref="D37">IF(AND('Datos de Proyecto'!C19=1,'Datos de Proyecto'!C17="C",'Datos de Proyecto'!D34&gt;15,'Datos de Proyecto'!C16=90),INDEX('Zona C'!O71:V81*1.05,MATCH(100,'Zona C'!N71:N81,1),MATCH('Datos de Proyecto'!C18,'Zona C'!O70:V70,1)),IF(AND('Datos de Proyecto'!C19=1,'Datos de Proyecto'!C17="C",'Datos de Proyecto'!D34&gt;15),INDEX('Zona C'!$O$71:$V$81,MATCH('Datos de Proyecto'!C16,'Zona C'!$N$71:$N$81,1),MATCH('Datos de Proyecto'!C18,'Zona C'!$O$70:$V$70,1)),0))</f>
        <v>0</v>
      </c>
      <c r="E37" s="91"/>
    </row>
    <row r="38" spans="2:5">
      <c r="B38" s="593"/>
      <c r="C38" s="186" t="s">
        <v>481</v>
      </c>
      <c r="D38" s="195" cm="1">
        <f t="array" ref="D38">IF(AND('Datos de Proyecto'!C19=2,'Datos de Proyecto'!C17="C",'Datos de Proyecto'!D34&lt;=5,'Datos de Proyecto'!C16=90),INDEX('Zona C'!D23:K33*1.05,MATCH(100,'Zona C'!C23:C33,1),MATCH('Datos de Proyecto'!C18,'Zona C'!D22:K22,1)),IF(AND('Datos de Proyecto'!C19=2,'Datos de Proyecto'!C17="C",'Datos de Proyecto'!D34&lt;=5),INDEX('Zona C'!D23:K33,MATCH('Datos de Proyecto'!C16,'Zona C'!C23:C33,1),MATCH('Datos de Proyecto'!C18,'Zona C'!D22:K22,1)),0))</f>
        <v>0</v>
      </c>
      <c r="E38" s="91"/>
    </row>
    <row r="39" spans="2:5">
      <c r="B39" s="593"/>
      <c r="C39" s="186" t="s">
        <v>483</v>
      </c>
      <c r="D39" s="190" cm="1">
        <f t="array" ref="D39">IF(AND('Datos de Proyecto'!C19=2,'Datos de Proyecto'!C17="C",'Datos de Proyecto'!D34&gt;5,'Datos de Proyecto'!D34&lt;=10,'Datos de Proyecto'!C16=90),INDEX('Zona C'!O23:V33*1.05,MATCH(100,'Zona C'!N23:N33,1),MATCH('Datos de Proyecto'!C18,'Zona C'!O22:V22,1)),IF(AND('Datos de Proyecto'!C19=2,'Datos de Proyecto'!C17="C",'Datos de Proyecto'!D34&gt;5,'Datos de Proyecto'!D34&lt;=10),INDEX('Zona C'!$O$23:$V$33,MATCH('Datos de Proyecto'!C16,'Zona C'!$N$23:$N$33,1),MATCH('Datos de Proyecto'!C18,'Zona C'!$O$22:$V$22,1)),0))</f>
        <v>0</v>
      </c>
      <c r="E39" s="91"/>
    </row>
    <row r="40" spans="2:5">
      <c r="B40" s="593"/>
      <c r="C40" s="186" t="s">
        <v>484</v>
      </c>
      <c r="D40" s="190" cm="1">
        <f t="array" ref="D40">IF(AND('Datos de Proyecto'!C19=2,'Datos de Proyecto'!C17="C",'Datos de Proyecto'!D34&gt;10,'Datos de Proyecto'!D34&lt;=15,'Datos de Proyecto'!C16=90),INDEX('Zona C'!D87:K97*1.05,MATCH(100,'Zona C'!C87:C97,1),MATCH('Datos de Proyecto'!C18,'Zona C'!D86:K86,1)),IF(AND('Datos de Proyecto'!C19=2,'Datos de Proyecto'!C17="C",'Datos de Proyecto'!D34&gt;10,'Datos de Proyecto'!D34&lt;=15),INDEX('Zona C'!$D$87:$K$97,MATCH('Datos de Proyecto'!C16,'Zona C'!$C$87:$C$97,1),MATCH('Datos de Proyecto'!C18,'Zona C'!$D$86:$K$86,1)),0))</f>
        <v>0</v>
      </c>
      <c r="E40" s="91"/>
    </row>
    <row r="41" spans="2:5">
      <c r="B41" s="593"/>
      <c r="C41" s="186" t="s">
        <v>485</v>
      </c>
      <c r="D41" s="190" cm="1">
        <f t="array" ref="D41">IF(AND('Datos de Proyecto'!C19=2,'Datos de Proyecto'!C17="C",'Datos de Proyecto'!D34&gt;15,'Datos de Proyecto'!C16=90),INDEX('Zona C'!O87:V97*1.05,MATCH(100,'Zona C'!N87:N97,1),MATCH('Datos de Proyecto'!C18,'Zona C'!O86:V86,1)),IF(AND('Datos de Proyecto'!C19=2,'Datos de Proyecto'!C17="C",'Datos de Proyecto'!D34&gt;15),INDEX('Zona C'!$O$87:$V$97,MATCH('Datos de Proyecto'!C16,'Zona C'!$N$87:$N$97,1),MATCH('Datos de Proyecto'!C18,'Zona C'!$O$86:$V$86,1)),0))</f>
        <v>0</v>
      </c>
      <c r="E41" s="91"/>
    </row>
    <row r="42" spans="2:5">
      <c r="B42" s="593"/>
      <c r="C42" s="186" t="s">
        <v>486</v>
      </c>
      <c r="D42" s="190" cm="1">
        <f t="array" ref="D42">IF(AND('Datos de Proyecto'!C19=3,'Datos de Proyecto'!C17="C",'Datos de Proyecto'!D34&lt;=5,'Datos de Proyecto'!C16=90),INDEX('Zona C'!D39:K49*1.05,MATCH(100,'Zona C'!C39:C49,1),MATCH('Datos de Proyecto'!C18,'Zona C'!D38:K38,1)),IF(AND('Datos de Proyecto'!C19=3,'Datos de Proyecto'!C17="C",'Datos de Proyecto'!D34&lt;=5),INDEX('Zona C'!$D$39:$K$49,MATCH('Datos de Proyecto'!C16,'Zona C'!$C$39:$C$49,1),MATCH('Datos de Proyecto'!C18,'Zona C'!$D$38:$K$38,1)),0))</f>
        <v>0</v>
      </c>
      <c r="E42" s="91"/>
    </row>
    <row r="43" spans="2:5">
      <c r="B43" s="593"/>
      <c r="C43" s="186" t="s">
        <v>487</v>
      </c>
      <c r="D43" s="190" cm="1">
        <f t="array" ref="D43">IF(AND('Datos de Proyecto'!C19=3,'Datos de Proyecto'!C17="C",'Datos de Proyecto'!D34&gt;5,'Datos de Proyecto'!D34&lt;=10,'Datos de Proyecto'!C16=90),INDEX('Zona C'!O39:V49*1.05,MATCH(100,'Zona C'!N39:N49,1),MATCH('Datos de Proyecto'!C18,'Zona C'!O38:V38,1)),IF(AND('Datos de Proyecto'!C19=3,'Datos de Proyecto'!C17="C",'Datos de Proyecto'!D34&gt;5,'Datos de Proyecto'!D34&lt;=10),INDEX('Zona C'!$O$39:$V$49,MATCH('Datos de Proyecto'!C16,'Zona C'!$N$39:$N$49,1),MATCH('Datos de Proyecto'!C18,'Zona C'!$O$38:$V$38,1)),0))</f>
        <v>0</v>
      </c>
      <c r="E43" s="91"/>
    </row>
    <row r="44" spans="2:5">
      <c r="B44" s="593"/>
      <c r="C44" s="186" t="s">
        <v>488</v>
      </c>
      <c r="D44" s="190" cm="1">
        <f t="array" ref="D44">IF(AND('Datos de Proyecto'!C19=3,'Datos de Proyecto'!C17="C",'Datos de Proyecto'!D34&gt;10,'Datos de Proyecto'!D34&lt;=15,'Datos de Proyecto'!C16=90),INDEX('Zona C'!D103:K113*1.05,MATCH(100,'Zona C'!C103:C113,1),MATCH('Datos de Proyecto'!C18,'Zona C'!D102:K102,1)),IF(AND('Datos de Proyecto'!C19=3,'Datos de Proyecto'!C17="C",'Datos de Proyecto'!D34&gt;10,'Datos de Proyecto'!D34&lt;=15),INDEX('Zona C'!$D$103:$K$113,MATCH('Datos de Proyecto'!C16,'Zona C'!$C$103:$C$113,1),MATCH('Datos de Proyecto'!C18,'Zona C'!$D$102:$K$102,1)),0))</f>
        <v>0</v>
      </c>
      <c r="E44" s="91"/>
    </row>
    <row r="45" spans="2:5">
      <c r="B45" s="593"/>
      <c r="C45" s="186" t="s">
        <v>489</v>
      </c>
      <c r="D45" s="190" cm="1">
        <f t="array" ref="D45">IF(AND('Datos de Proyecto'!C19=3,'Datos de Proyecto'!C17="C",'Datos de Proyecto'!D34&gt;15,'Datos de Proyecto'!C16=90),INDEX('Zona C'!O103:V113*1.05,MATCH(100,'Zona C'!N103:N113,1),MATCH('Datos de Proyecto'!C18,'Zona C'!O102:V102,1)),IF(AND('Datos de Proyecto'!C19=3,'Datos de Proyecto'!C17="C",'Datos de Proyecto'!D34&gt;15),INDEX('Zona C'!$O$103:$V$113,MATCH('Datos de Proyecto'!C16,'Zona C'!$N$103:$N$113,1),MATCH('Datos de Proyecto'!C18,'Zona C'!$O$102:$V$102,1)),0))</f>
        <v>0</v>
      </c>
      <c r="E45" s="91"/>
    </row>
    <row r="46" spans="2:5">
      <c r="B46" s="593"/>
      <c r="C46" s="186" t="s">
        <v>490</v>
      </c>
      <c r="D46" s="196" cm="1">
        <f t="array" ref="D46">IF(AND('Datos de Proyecto'!C19=4,'Datos de Proyecto'!C17="C",'Datos de Proyecto'!D34&lt;=5,'Datos de Proyecto'!C16=90),INDEX('Zona C'!D55:K65*1.05,MATCH(100,'Zona C'!C55:C65,1),MATCH('Datos de Proyecto'!C18,'Zona C'!D54:K54,1)),IF(AND('Datos de Proyecto'!C19=4,'Datos de Proyecto'!C17="C",'Datos de Proyecto'!D34&lt;=5),INDEX('Zona C'!$D$55:$K$65,MATCH('Datos de Proyecto'!C16,'Zona C'!$C$55:$C$65,1),MATCH('Datos de Proyecto'!C18,'Zona C'!$D$54:$K$54,1)),0))</f>
        <v>0</v>
      </c>
    </row>
    <row r="47" spans="2:5">
      <c r="B47" s="593"/>
      <c r="C47" s="186" t="s">
        <v>491</v>
      </c>
      <c r="D47" s="195" cm="1">
        <f t="array" ref="D47">IF(AND('Datos de Proyecto'!C19=4,'Datos de Proyecto'!C17="C",'Datos de Proyecto'!D34&gt;5,'Datos de Proyecto'!D34&lt;=10,'Datos de Proyecto'!C16=90),INDEX('Zona C'!O55:V65*1.05,MATCH(100,'Zona C'!N55:N65,1),MATCH('Datos de Proyecto'!C18,'Zona C'!O54:V54,1)),IF(AND('Datos de Proyecto'!C19=4,'Datos de Proyecto'!C17="C",'Datos de Proyecto'!D34&gt;5,'Datos de Proyecto'!D34&lt;=10),INDEX('Zona C'!$O$55:$V$65,MATCH('Datos de Proyecto'!C16,'Zona C'!$N$55:$N$65,1),MATCH('Datos de Proyecto'!C18,'Zona C'!$O$54:$V$54,1)),0))</f>
        <v>0</v>
      </c>
    </row>
    <row r="48" spans="2:5">
      <c r="B48" s="593"/>
      <c r="C48" s="186" t="s">
        <v>492</v>
      </c>
      <c r="D48" s="195" cm="1">
        <f t="array" ref="D48">IF(AND('Datos de Proyecto'!C19=4,'Datos de Proyecto'!C17="C",'Datos de Proyecto'!D34&gt;10,'Datos de Proyecto'!D34&lt;=15,'Datos de Proyecto'!C16=90),INDEX('Zona C'!D119:K129*1.05,MATCH(100,'Zona C'!C119:C129,1),MATCH('Datos de Proyecto'!C18,'Zona C'!D118:K118,1)),IF(AND('Datos de Proyecto'!C19=4,'Datos de Proyecto'!C17="C",'Datos de Proyecto'!D34&gt;10,'Datos de Proyecto'!D34&lt;=15),INDEX('Zona C'!D119:K129,MATCH('Datos de Proyecto'!C16,'Zona C'!C119:C129,1),MATCH('Datos de Proyecto'!C18,'Zona C'!$D$118:$K$118,1)),0))</f>
        <v>0</v>
      </c>
    </row>
    <row r="49" spans="2:4">
      <c r="B49" s="594"/>
      <c r="C49" s="187" t="s">
        <v>493</v>
      </c>
      <c r="D49" s="202" cm="1">
        <f t="array" ref="D49">IF(AND('Datos de Proyecto'!C19=4,'Datos de Proyecto'!C17="C",'Datos de Proyecto'!D34&gt;15,'Datos de Proyecto'!C16=90),INDEX('Zona C'!O119:V129*1.05,MATCH(100,'Zona C'!N119:N129,1),MATCH('Datos de Proyecto'!C18,'Zona C'!O118:V118,1)),IF(AND('Datos de Proyecto'!C19=4,'Datos de Proyecto'!C17="C",'Datos de Proyecto'!D34&gt;15),INDEX('Zona C'!$O$119:$V$129,MATCH('Datos de Proyecto'!C16,'Zona C'!$N$119:$N$129,1),MATCH('Datos de Proyecto'!C18,'Zona C'!$O$118:$V$118,1)),0))</f>
        <v>0</v>
      </c>
    </row>
    <row r="50" spans="2:4">
      <c r="B50" s="592" t="s">
        <v>497</v>
      </c>
      <c r="C50" s="185" t="s">
        <v>477</v>
      </c>
      <c r="D50" s="201">
        <f>IF(AND('Datos de Proyecto'!C19=1,'Datos de Proyecto'!C17="D",'Datos de Proyecto'!D34&lt;=5),INDEX('Zona D'!$D$7:$K$17,MATCH('Datos de Proyecto'!C16,'Zona D'!$C$7:$C$17,1),MATCH('Datos de Proyecto'!C18,'Zona D'!$D$6:$K$6,1)),0)</f>
        <v>0</v>
      </c>
    </row>
    <row r="51" spans="2:4">
      <c r="B51" s="593"/>
      <c r="C51" s="186" t="s">
        <v>478</v>
      </c>
      <c r="D51" s="194">
        <f>IF(AND('Datos de Proyecto'!C19=1,'Datos de Proyecto'!C17="D",'Datos de Proyecto'!D34&gt;5,'Datos de Proyecto'!D34&lt;=10),INDEX('Zona D'!$O$7:$V$17,MATCH('Datos de Proyecto'!C16,'Zona D'!$N$7:$N$17,1),MATCH('Datos de Proyecto'!C18,'Zona D'!$O$6:$V$6,1)),0)</f>
        <v>0</v>
      </c>
    </row>
    <row r="52" spans="2:4">
      <c r="B52" s="593"/>
      <c r="C52" s="186" t="s">
        <v>479</v>
      </c>
      <c r="D52" s="194">
        <f>IF(AND('Datos de Proyecto'!C19=1,'Datos de Proyecto'!C17="D",'Datos de Proyecto'!D34&gt;10,'Datos de Proyecto'!D34&lt;=15),INDEX('Zona D'!$D$71:$K$81,MATCH('Datos de Proyecto'!C16,'Zona D'!$C$71:$C$81,1),MATCH('Datos de Proyecto'!C18,'Zona D'!$D$70:$K$70,1)),0)</f>
        <v>0</v>
      </c>
    </row>
    <row r="53" spans="2:4">
      <c r="B53" s="593"/>
      <c r="C53" s="186" t="s">
        <v>480</v>
      </c>
      <c r="D53" s="194">
        <f>IF(AND('Datos de Proyecto'!C19=1,'Datos de Proyecto'!C17="D",'Datos de Proyecto'!D34&gt;15),INDEX('Zona D'!$O$71:$V$81,MATCH('Datos de Proyecto'!C16,'Zona D'!$N$71:$N$81,1),MATCH('Datos de Proyecto'!C18,'Zona D'!$O$70:$V$70,1)),0)</f>
        <v>0</v>
      </c>
    </row>
    <row r="54" spans="2:4">
      <c r="B54" s="593"/>
      <c r="C54" s="186" t="s">
        <v>481</v>
      </c>
      <c r="D54" s="197">
        <f>IF(AND('Datos de Proyecto'!C19=2,'Datos de Proyecto'!C17="D",'Datos de Proyecto'!D34&lt;=5),INDEX('Zona D'!D23:K33,MATCH('Datos de Proyecto'!C16,'Zona D'!C23:C33,1),MATCH('Datos de Proyecto'!C18,'Zona D'!D22:K22,1)),0)</f>
        <v>0</v>
      </c>
    </row>
    <row r="55" spans="2:4">
      <c r="B55" s="593"/>
      <c r="C55" s="186" t="s">
        <v>483</v>
      </c>
      <c r="D55" s="194">
        <f>IF(AND('Datos de Proyecto'!C19=2,'Datos de Proyecto'!C17="D",'Datos de Proyecto'!D34&gt;5,'Datos de Proyecto'!D34&lt;=10),INDEX('Zona D'!$O$23:$V$33,MATCH('Datos de Proyecto'!C16,'Zona D'!$N$23:$N$33,1),MATCH('Datos de Proyecto'!C18,'Zona D'!$O$22:$V$22,1)),0)</f>
        <v>0</v>
      </c>
    </row>
    <row r="56" spans="2:4">
      <c r="B56" s="593"/>
      <c r="C56" s="186" t="s">
        <v>484</v>
      </c>
      <c r="D56" s="194">
        <f>IF(AND('Datos de Proyecto'!C19=2,'Datos de Proyecto'!C17="D",'Datos de Proyecto'!D34&gt;10,'Datos de Proyecto'!D34&lt;=15),INDEX('Zona D'!$D$87:$K$97,MATCH('Datos de Proyecto'!C16,'Zona D'!$C$87:$C$97,1),MATCH('Datos de Proyecto'!C18,'Zona D'!$D$86:$K$86,1)),0)</f>
        <v>0</v>
      </c>
    </row>
    <row r="57" spans="2:4">
      <c r="B57" s="593"/>
      <c r="C57" s="186" t="s">
        <v>485</v>
      </c>
      <c r="D57" s="194">
        <f>IF(AND('Datos de Proyecto'!C19=2,'Datos de Proyecto'!C17="D",'Datos de Proyecto'!D34&gt;15),INDEX('Zona D'!$O$87:$V$97,MATCH('Datos de Proyecto'!C16,'Zona D'!$N$87:$N$97,1),MATCH('Datos de Proyecto'!C18,'Zona D'!$O$86:$V$86,1)),0)</f>
        <v>0</v>
      </c>
    </row>
    <row r="58" spans="2:4">
      <c r="B58" s="593"/>
      <c r="C58" s="186" t="s">
        <v>486</v>
      </c>
      <c r="D58" s="197">
        <f>IF(AND('Datos de Proyecto'!C19=3,'Datos de Proyecto'!C17="D",'Datos de Proyecto'!D34&lt;=5),INDEX('Zona D'!$D$39:$K$49,MATCH('Datos de Proyecto'!C16,'Zona D'!$C$39:$C$49,1),MATCH('Datos de Proyecto'!C18,'Zona D'!$D$38:$K$38,1)),0)</f>
        <v>1.4</v>
      </c>
    </row>
    <row r="59" spans="2:4">
      <c r="B59" s="593"/>
      <c r="C59" s="186" t="s">
        <v>487</v>
      </c>
      <c r="D59" s="194">
        <f>IF(AND('Datos de Proyecto'!C19=3,'Datos de Proyecto'!C17="D",'Datos de Proyecto'!D34&gt;5,'Datos de Proyecto'!D34&lt;=10),INDEX('Zona D'!$O$39:$V$49,MATCH('Datos de Proyecto'!C16,'Zona D'!$N$39:$N$49,1),MATCH('Datos de Proyecto'!C18,'Zona D'!$O$38:$V$38,1)),0)</f>
        <v>0</v>
      </c>
    </row>
    <row r="60" spans="2:4">
      <c r="B60" s="593"/>
      <c r="C60" s="186" t="s">
        <v>488</v>
      </c>
      <c r="D60" s="194">
        <f>IF(AND('Datos de Proyecto'!C19=3,'Datos de Proyecto'!C17="D",'Datos de Proyecto'!D34&gt;10,'Datos de Proyecto'!D34&lt;=15),INDEX('Zona D'!$D$103:$K$113,MATCH('Datos de Proyecto'!C16,'Zona D'!$C$103:$C$113,1),MATCH('Datos de Proyecto'!C18,'Zona D'!$D$102:$K$102,1)),0)</f>
        <v>0</v>
      </c>
    </row>
    <row r="61" spans="2:4">
      <c r="B61" s="593"/>
      <c r="C61" s="186" t="s">
        <v>489</v>
      </c>
      <c r="D61" s="194">
        <f>IF(AND('Datos de Proyecto'!C19=3,'Datos de Proyecto'!C17="D",'Datos de Proyecto'!D34&gt;15),INDEX('Zona D'!$O$103:$V$113,MATCH('Datos de Proyecto'!C16,'Zona D'!$N$103:$N$113,1),MATCH('Datos de Proyecto'!C18,'Zona D'!$O$102:$V$102,1)),0)</f>
        <v>0</v>
      </c>
    </row>
    <row r="62" spans="2:4">
      <c r="B62" s="593"/>
      <c r="C62" s="186" t="s">
        <v>490</v>
      </c>
      <c r="D62" s="197">
        <f>IF(AND('Datos de Proyecto'!C19=4,'Datos de Proyecto'!C17="D",'Datos de Proyecto'!D34&lt;=5),INDEX('Zona D'!$D$55:$K$65,MATCH('Datos de Proyecto'!C16,'Zona D'!$C$55:$C$65,1),MATCH('Datos de Proyecto'!C18,'Zona D'!$D$54:$K$54,1)),0)</f>
        <v>0</v>
      </c>
    </row>
    <row r="63" spans="2:4">
      <c r="B63" s="593"/>
      <c r="C63" s="186" t="s">
        <v>491</v>
      </c>
      <c r="D63" s="194">
        <f>IF(AND('Datos de Proyecto'!C19=4,'Datos de Proyecto'!C17="D",'Datos de Proyecto'!D34&gt;5,'Datos de Proyecto'!D34&lt;=10),INDEX('Zona D'!$O$55:$V$65,MATCH('Datos de Proyecto'!C16,'Zona D'!$N$55:$N$65,1),MATCH('Datos de Proyecto'!C18,'Zona D'!$O$54:$V$54,1)),0)</f>
        <v>0</v>
      </c>
    </row>
    <row r="64" spans="2:4">
      <c r="B64" s="593"/>
      <c r="C64" s="186" t="s">
        <v>492</v>
      </c>
      <c r="D64" s="194">
        <f>IF(AND('Datos de Proyecto'!C19=4,'Datos de Proyecto'!C17="D",'Datos de Proyecto'!D34&gt;10,'Datos de Proyecto'!D34&lt;=15),INDEX('Zona D'!$D$119:$K$129,MATCH('Datos de Proyecto'!C16,'Zona D'!$C$119:$C$129,1),MATCH('Datos de Proyecto'!C18,'Zona D'!$D$118:$K$118,1)),0)</f>
        <v>0</v>
      </c>
    </row>
    <row r="65" spans="2:4">
      <c r="B65" s="594"/>
      <c r="C65" s="187" t="s">
        <v>493</v>
      </c>
      <c r="D65" s="203">
        <f>IF(AND('Datos de Proyecto'!C19=4,'Datos de Proyecto'!C17="D",'Datos de Proyecto'!D34&gt;15),INDEX('Zona D'!$O$119:$V$129,MATCH('Datos de Proyecto'!C16,'Zona D'!$N$119:$N$129,1),MATCH('Datos de Proyecto'!C18,'Zona D'!$O$118:$V$118,1)),0)</f>
        <v>0</v>
      </c>
    </row>
  </sheetData>
  <mergeCells count="4">
    <mergeCell ref="B2:B17"/>
    <mergeCell ref="B18:B33"/>
    <mergeCell ref="B34:B49"/>
    <mergeCell ref="B50:B6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34C01-4DCF-4EB7-85EB-71AC7511BD5C}">
  <sheetPr codeName="Hoja7"/>
  <dimension ref="A2:AP57"/>
  <sheetViews>
    <sheetView showZeros="0" zoomScale="70" workbookViewId="0">
      <selection activeCell="E11" sqref="E11"/>
    </sheetView>
  </sheetViews>
  <sheetFormatPr defaultColWidth="11.453125" defaultRowHeight="14.5"/>
  <cols>
    <col min="1" max="1" width="11.453125" style="112"/>
    <col min="2" max="2" width="19.1796875" style="112" bestFit="1" customWidth="1"/>
    <col min="3" max="3" width="14.54296875" style="112" bestFit="1" customWidth="1"/>
    <col min="4" max="4" width="12.453125" style="112" bestFit="1" customWidth="1"/>
    <col min="5" max="5" width="12.1796875" style="112" bestFit="1" customWidth="1"/>
    <col min="6" max="6" width="11.453125" style="112"/>
    <col min="7" max="7" width="13.1796875" style="112" bestFit="1" customWidth="1"/>
    <col min="8" max="9" width="11.453125" style="112"/>
    <col min="10" max="10" width="14.54296875" style="112" customWidth="1"/>
    <col min="11" max="11" width="11.453125" style="112"/>
    <col min="12" max="12" width="6.453125" style="112" bestFit="1" customWidth="1"/>
    <col min="13" max="14" width="14.1796875" style="112" bestFit="1" customWidth="1"/>
    <col min="15" max="15" width="5.1796875" style="112" bestFit="1" customWidth="1"/>
    <col min="16" max="16" width="11.54296875" style="112" bestFit="1" customWidth="1"/>
    <col min="17" max="17" width="9" style="112" bestFit="1" customWidth="1"/>
    <col min="18" max="18" width="15.453125" style="112" bestFit="1" customWidth="1"/>
    <col min="19" max="20" width="10.1796875" style="112" bestFit="1" customWidth="1"/>
    <col min="21" max="21" width="14.1796875" style="112" bestFit="1" customWidth="1"/>
    <col min="22" max="23" width="20.81640625" style="112" bestFit="1" customWidth="1"/>
    <col min="24" max="24" width="24.453125" style="112" customWidth="1"/>
    <col min="25" max="25" width="6.453125" style="112" bestFit="1" customWidth="1"/>
    <col min="26" max="27" width="14.1796875" style="112" bestFit="1" customWidth="1"/>
    <col min="28" max="28" width="5" style="349" bestFit="1" customWidth="1"/>
    <col min="29" max="29" width="11.54296875" style="112" bestFit="1" customWidth="1"/>
    <col min="30" max="30" width="10.1796875" style="112" bestFit="1" customWidth="1"/>
    <col min="31" max="31" width="15.453125" style="112" customWidth="1"/>
    <col min="32" max="33" width="10.1796875" style="112" bestFit="1" customWidth="1"/>
    <col min="34" max="34" width="14.1796875" style="112" bestFit="1" customWidth="1"/>
    <col min="35" max="36" width="20.81640625" style="112" bestFit="1" customWidth="1"/>
    <col min="37" max="41" width="11.453125" style="112"/>
    <col min="42" max="42" width="15.81640625" style="112" customWidth="1"/>
    <col min="43" max="16384" width="11.453125" style="112"/>
  </cols>
  <sheetData>
    <row r="2" spans="2:42" ht="15">
      <c r="B2" s="603" t="s">
        <v>154</v>
      </c>
      <c r="C2" s="604"/>
      <c r="D2" s="604"/>
      <c r="E2" s="604"/>
      <c r="F2" s="604"/>
      <c r="G2" s="604"/>
      <c r="H2" s="604"/>
      <c r="I2" s="604"/>
      <c r="J2" s="604"/>
      <c r="L2" s="596" t="s">
        <v>498</v>
      </c>
      <c r="M2" s="597"/>
      <c r="N2" s="597"/>
      <c r="O2" s="597"/>
      <c r="P2" s="597"/>
      <c r="Q2" s="597"/>
      <c r="R2" s="597"/>
      <c r="S2" s="597"/>
      <c r="T2" s="597"/>
      <c r="U2" s="597"/>
      <c r="V2" s="597"/>
      <c r="W2" s="597"/>
      <c r="Y2" s="598" t="s">
        <v>499</v>
      </c>
      <c r="Z2" s="599"/>
      <c r="AA2" s="599"/>
      <c r="AB2" s="599"/>
      <c r="AC2" s="599"/>
      <c r="AD2" s="599"/>
      <c r="AE2" s="599"/>
      <c r="AF2" s="599"/>
      <c r="AG2" s="599"/>
      <c r="AH2" s="599"/>
      <c r="AI2" s="599"/>
      <c r="AJ2" s="599"/>
      <c r="AL2" s="600" t="s">
        <v>500</v>
      </c>
      <c r="AM2" s="601"/>
      <c r="AN2" s="601"/>
      <c r="AO2" s="601"/>
      <c r="AP2" s="602"/>
    </row>
    <row r="3" spans="2:42">
      <c r="B3" s="317" t="s">
        <v>501</v>
      </c>
      <c r="C3" s="317" t="s">
        <v>502</v>
      </c>
      <c r="D3" s="317" t="s">
        <v>503</v>
      </c>
      <c r="E3" s="317" t="s">
        <v>504</v>
      </c>
      <c r="F3" s="317" t="s">
        <v>505</v>
      </c>
      <c r="G3" s="317" t="s">
        <v>506</v>
      </c>
      <c r="H3" s="317" t="s">
        <v>507</v>
      </c>
      <c r="I3" s="327" t="s">
        <v>508</v>
      </c>
      <c r="J3" s="328" t="s">
        <v>202</v>
      </c>
      <c r="L3" s="317" t="s">
        <v>509</v>
      </c>
      <c r="M3" s="317" t="s">
        <v>503</v>
      </c>
      <c r="N3" s="317" t="s">
        <v>504</v>
      </c>
      <c r="O3" s="316" t="s">
        <v>510</v>
      </c>
      <c r="P3" s="316" t="s">
        <v>511</v>
      </c>
      <c r="Q3" s="317" t="s">
        <v>505</v>
      </c>
      <c r="R3" s="317" t="s">
        <v>506</v>
      </c>
      <c r="S3" s="317" t="s">
        <v>507</v>
      </c>
      <c r="T3" s="317" t="s">
        <v>508</v>
      </c>
      <c r="U3" s="317" t="s">
        <v>202</v>
      </c>
      <c r="V3" s="317" t="s">
        <v>512</v>
      </c>
      <c r="W3" s="317" t="s">
        <v>140</v>
      </c>
      <c r="Y3" s="327" t="s">
        <v>509</v>
      </c>
      <c r="Z3" s="329" t="s">
        <v>503</v>
      </c>
      <c r="AA3" s="329" t="s">
        <v>504</v>
      </c>
      <c r="AB3" s="316" t="s">
        <v>510</v>
      </c>
      <c r="AC3" s="330" t="s">
        <v>511</v>
      </c>
      <c r="AD3" s="317" t="s">
        <v>513</v>
      </c>
      <c r="AE3" s="329" t="s">
        <v>506</v>
      </c>
      <c r="AF3" s="329" t="s">
        <v>507</v>
      </c>
      <c r="AG3" s="331" t="s">
        <v>508</v>
      </c>
      <c r="AH3" s="327" t="s">
        <v>202</v>
      </c>
      <c r="AI3" s="300" t="s">
        <v>102</v>
      </c>
      <c r="AJ3" s="300" t="s">
        <v>140</v>
      </c>
      <c r="AL3" s="172" t="s">
        <v>514</v>
      </c>
      <c r="AM3" s="172" t="s">
        <v>515</v>
      </c>
      <c r="AN3" s="172" t="s">
        <v>516</v>
      </c>
      <c r="AO3" s="172" t="s">
        <v>517</v>
      </c>
      <c r="AP3" s="172" t="s">
        <v>518</v>
      </c>
    </row>
    <row r="4" spans="2:42">
      <c r="B4" s="332">
        <v>1</v>
      </c>
      <c r="C4" s="300">
        <f>'Formula de apoyo'!J54*'Datos de Proyecto'!G21</f>
        <v>5</v>
      </c>
      <c r="D4" s="300">
        <f>'Formula de apoyo'!K54*'Datos de Proyecto'!G21</f>
        <v>4</v>
      </c>
      <c r="E4" s="300">
        <f>'Formula de apoyo'!L54*'Datos de Proyecto'!G21</f>
        <v>18</v>
      </c>
      <c r="F4" s="300">
        <f>IF('Datos de Proyecto'!$D$32="S-5! PROTEA II","",'Formula de apoyo'!I54*'Datos de Proyecto'!G21)</f>
        <v>14</v>
      </c>
      <c r="G4" s="300">
        <f>'Formula de apoyo'!M54*'Datos de Proyecto'!G21</f>
        <v>4</v>
      </c>
      <c r="H4" s="300">
        <f>'Formula de apoyo'!N54*'Datos de Proyecto'!G21</f>
        <v>1</v>
      </c>
      <c r="I4" s="300">
        <f>D4</f>
        <v>4</v>
      </c>
      <c r="J4" s="328">
        <f>IF('Datos de Proyecto'!$D$32&lt;&gt;0,IF('Datos de Proyecto'!$D$32="S-5! PROTEA II",'Formula de apoyo'!I54*'Datos de Proyecto'!G21,'Cuenta total'!F4),0)</f>
        <v>0</v>
      </c>
      <c r="L4" s="303">
        <f>'Formula de apoyo'!K5*'Datos de Proyecto'!J21</f>
        <v>0</v>
      </c>
      <c r="M4" s="299">
        <f>'Formula de apoyo'!N5*'Datos de Proyecto'!J21</f>
        <v>0</v>
      </c>
      <c r="N4" s="299">
        <f>'Formula de apoyo'!O5*'Datos de Proyecto'!J21</f>
        <v>0</v>
      </c>
      <c r="O4" s="299">
        <f>'Formula de apoyo'!M5*'Datos de Proyecto'!J21</f>
        <v>0</v>
      </c>
      <c r="P4" s="299">
        <f>'Formula de apoyo'!L5*'Datos de Proyecto'!J21</f>
        <v>0</v>
      </c>
      <c r="Q4" s="299">
        <f>'Formula de apoyo'!J5*'Datos de Proyecto'!J21</f>
        <v>0</v>
      </c>
      <c r="R4" s="299">
        <f>'Formula de apoyo'!Q5*'Datos de Proyecto'!J21</f>
        <v>0</v>
      </c>
      <c r="S4" s="299">
        <f>'Formula de apoyo'!P5*'Datos de Proyecto'!J21</f>
        <v>0</v>
      </c>
      <c r="T4" s="299">
        <f t="shared" ref="T4" si="0">M4</f>
        <v>0</v>
      </c>
      <c r="U4" s="112" t="str" cm="1">
        <f t="array" ref="U4">IFERROR(_xlfn.IFS('Datos de Proyecto'!$D$32="NOVOTEGRA M2 CLAMP",Q4,'Datos de Proyecto'!$D$32="SET JT3-SB-3-8.0x85/50",Q4),"")</f>
        <v/>
      </c>
      <c r="V4" s="299">
        <f>+'Formula de apoyo'!B5*'Datos de Proyecto'!J21</f>
        <v>0</v>
      </c>
      <c r="W4" s="307">
        <f>+'Formula de apoyo'!A5*'Datos de Proyecto'!J21</f>
        <v>0</v>
      </c>
      <c r="Y4" s="112">
        <f>+'Formula de apoyo'!M29*'Datos de Proyecto'!M21</f>
        <v>0</v>
      </c>
      <c r="Z4" s="112">
        <f>+'Formula de apoyo'!P29*'Datos de Proyecto'!M21</f>
        <v>0</v>
      </c>
      <c r="AA4" s="112">
        <f>'Formula de apoyo'!Q29*'Datos de Proyecto'!M21</f>
        <v>0</v>
      </c>
      <c r="AB4" s="112">
        <f>+'Formula de apoyo'!O29*'Datos de Proyecto'!M21</f>
        <v>0</v>
      </c>
      <c r="AC4" s="112">
        <f>+'Formula de apoyo'!N29*'Datos de Proyecto'!M21</f>
        <v>0</v>
      </c>
      <c r="AD4" s="112">
        <f>+'Formula de apoyo'!L29*'Datos de Proyecto'!M21</f>
        <v>0</v>
      </c>
      <c r="AE4" s="112">
        <f>+'Formula de apoyo'!S29*'Datos de Proyecto'!M21</f>
        <v>0</v>
      </c>
      <c r="AF4" s="112">
        <f>+'Formula de apoyo'!R29*'Datos de Proyecto'!M21</f>
        <v>0</v>
      </c>
      <c r="AG4" s="112">
        <f>+'Formula de apoyo'!T29*'Datos de Proyecto'!M21</f>
        <v>0</v>
      </c>
      <c r="AH4" s="112" t="str" cm="1">
        <f t="array" ref="AH4">IFERROR(_xlfn.IFS('Datos de Proyecto'!$D$32="NOVOTEGRA M2 CLAMP",AD4,'Datos de Proyecto'!$D$32="SET JT3-SB-3-8.0x85/50",AD4),"")</f>
        <v/>
      </c>
      <c r="AI4" s="112">
        <f>+'Formula de apoyo'!B29*'Datos de Proyecto'!M21</f>
        <v>0</v>
      </c>
      <c r="AJ4" s="112">
        <f>+'Formula de apoyo'!A29*'Datos de Proyecto'!M21</f>
        <v>0</v>
      </c>
      <c r="AL4" s="333">
        <f>IF('Calculo de Span'!O36&gt;14,"ERROR",SUM(AM4:AN4))</f>
        <v>22</v>
      </c>
      <c r="AM4" s="112">
        <f>IF('Datos de Proyecto'!P21=0,0,4*'Datos de Proyecto'!P21)</f>
        <v>4</v>
      </c>
      <c r="AN4" s="112">
        <f>IF('Datos de Proyecto'!P21=0,0,(('Datos de Proyecto'!Q21-1)*2)*'Datos de Proyecto'!P21)</f>
        <v>18</v>
      </c>
      <c r="AO4" s="112">
        <f>'Datos de Proyecto'!P21</f>
        <v>1</v>
      </c>
      <c r="AP4" s="334">
        <f>AL4*4</f>
        <v>88</v>
      </c>
    </row>
    <row r="5" spans="2:42">
      <c r="B5" s="335">
        <v>2</v>
      </c>
      <c r="C5" s="336">
        <f>'Formula de apoyo'!J55*'Datos de Proyecto'!G22</f>
        <v>10</v>
      </c>
      <c r="D5" s="336">
        <f>'Formula de apoyo'!K55*'Datos de Proyecto'!G22</f>
        <v>8</v>
      </c>
      <c r="E5" s="336">
        <f>'Formula de apoyo'!L55*'Datos de Proyecto'!G22</f>
        <v>36</v>
      </c>
      <c r="F5" s="300">
        <f>IF('Datos de Proyecto'!$D$32="S-5! PROTEA II","",'Formula de apoyo'!I55*'Datos de Proyecto'!G22)</f>
        <v>28</v>
      </c>
      <c r="G5" s="336">
        <f>'Formula de apoyo'!M55*'Datos de Proyecto'!G22</f>
        <v>8</v>
      </c>
      <c r="H5" s="336">
        <f>'Formula de apoyo'!N55*'Datos de Proyecto'!G22</f>
        <v>2</v>
      </c>
      <c r="I5" s="336">
        <f t="shared" ref="I5:I23" si="1">D5</f>
        <v>8</v>
      </c>
      <c r="J5" s="328">
        <f>IF('Datos de Proyecto'!$D$32&lt;&gt;0,IF('Datos de Proyecto'!$D$32="S-5! PROTEA II",'Formula de apoyo'!I55*'Datos de Proyecto'!G22,'Cuenta total'!F5),0)</f>
        <v>0</v>
      </c>
      <c r="L5" s="335">
        <f>'Formula de apoyo'!K6*'Datos de Proyecto'!J22</f>
        <v>0</v>
      </c>
      <c r="M5" s="336">
        <f>'Formula de apoyo'!N6*'Datos de Proyecto'!J22</f>
        <v>0</v>
      </c>
      <c r="N5" s="336">
        <f>'Formula de apoyo'!O6*'Datos de Proyecto'!J22</f>
        <v>0</v>
      </c>
      <c r="O5" s="336">
        <f>'Formula de apoyo'!M6*'Datos de Proyecto'!J22</f>
        <v>0</v>
      </c>
      <c r="P5" s="336">
        <f>'Formula de apoyo'!L6*'Datos de Proyecto'!J22</f>
        <v>0</v>
      </c>
      <c r="Q5" s="336">
        <f>'Formula de apoyo'!J6*'Datos de Proyecto'!J22</f>
        <v>0</v>
      </c>
      <c r="R5" s="336">
        <f>'Formula de apoyo'!Q6*'Datos de Proyecto'!J22</f>
        <v>0</v>
      </c>
      <c r="S5" s="336">
        <f>'Formula de apoyo'!P6*'Datos de Proyecto'!J22</f>
        <v>0</v>
      </c>
      <c r="T5" s="336">
        <f t="shared" ref="T5:T23" si="2">M5</f>
        <v>0</v>
      </c>
      <c r="U5" s="338" t="str" cm="1">
        <f t="array" ref="U5">IFERROR(_xlfn.IFS('Datos de Proyecto'!$D$32="NOVOTEGRA M2 CLAMP",Q5,'Datos de Proyecto'!$D$32="SET JT3-SB-3-8.0x85/50",Q5),"")</f>
        <v/>
      </c>
      <c r="V5" s="336">
        <f>+'Formula de apoyo'!B6*'Datos de Proyecto'!J22</f>
        <v>0</v>
      </c>
      <c r="W5" s="337">
        <f>+'Formula de apoyo'!A6*'Datos de Proyecto'!J22</f>
        <v>0</v>
      </c>
      <c r="Y5" s="338">
        <f>+'Formula de apoyo'!M30*'Datos de Proyecto'!M22</f>
        <v>0</v>
      </c>
      <c r="Z5" s="338">
        <f>+'Formula de apoyo'!P30*'Datos de Proyecto'!M22</f>
        <v>0</v>
      </c>
      <c r="AA5" s="338">
        <f>'Formula de apoyo'!Q30*'Datos de Proyecto'!M22</f>
        <v>0</v>
      </c>
      <c r="AB5" s="338">
        <f>+'Formula de apoyo'!O30*'Datos de Proyecto'!M22</f>
        <v>0</v>
      </c>
      <c r="AC5" s="338">
        <f>+'Formula de apoyo'!N30*'Datos de Proyecto'!M22</f>
        <v>0</v>
      </c>
      <c r="AD5" s="338">
        <f>+'Formula de apoyo'!L30*'Datos de Proyecto'!M22</f>
        <v>0</v>
      </c>
      <c r="AE5" s="338">
        <f>+'Formula de apoyo'!S30*'Datos de Proyecto'!M22</f>
        <v>0</v>
      </c>
      <c r="AF5" s="338">
        <f>+'Formula de apoyo'!R30*'Datos de Proyecto'!M22</f>
        <v>0</v>
      </c>
      <c r="AG5" s="338">
        <f>+'Formula de apoyo'!T30*'Datos de Proyecto'!M22</f>
        <v>0</v>
      </c>
      <c r="AH5" s="338" t="str" cm="1">
        <f t="array" ref="AH5">IFERROR(_xlfn.IFS('Datos de Proyecto'!$D$32="NOVOTEGRA M2 CLAMP",AD5,'Datos de Proyecto'!$D$32="SET JT3-SB-3-8.0x85/50",AD5),"")</f>
        <v/>
      </c>
      <c r="AI5" s="338">
        <f>+'Formula de apoyo'!B30*'Datos de Proyecto'!M22</f>
        <v>0</v>
      </c>
      <c r="AJ5" s="338">
        <f>+'Formula de apoyo'!A30*'Datos de Proyecto'!M22</f>
        <v>0</v>
      </c>
      <c r="AL5" s="339">
        <f>IF('Calculo de Span'!O37&gt;14,"ERROR",SUM(AM5:AN5))</f>
        <v>0</v>
      </c>
      <c r="AM5" s="338">
        <f>IF('Datos de Proyecto'!P22=0,0,4*'Datos de Proyecto'!P22)</f>
        <v>0</v>
      </c>
      <c r="AN5" s="338">
        <f>IF('Datos de Proyecto'!P22=0,0,(('Datos de Proyecto'!Q22-1)*2)*'Datos de Proyecto'!P22)</f>
        <v>0</v>
      </c>
      <c r="AO5" s="338">
        <f>'Datos de Proyecto'!P22</f>
        <v>0</v>
      </c>
      <c r="AP5" s="340">
        <f t="shared" ref="AP5:AP23" si="3">AL5*4</f>
        <v>0</v>
      </c>
    </row>
    <row r="6" spans="2:42">
      <c r="B6" s="332">
        <v>3</v>
      </c>
      <c r="C6" s="300">
        <f>'Formula de apoyo'!J56*'Datos de Proyecto'!G23</f>
        <v>0</v>
      </c>
      <c r="D6" s="300">
        <f>'Formula de apoyo'!K56*'Datos de Proyecto'!G23</f>
        <v>0</v>
      </c>
      <c r="E6" s="300">
        <f>'Formula de apoyo'!L56*'Datos de Proyecto'!G23</f>
        <v>0</v>
      </c>
      <c r="F6" s="300">
        <f>IF('Datos de Proyecto'!$D$32="S-5! PROTEA II","",'Formula de apoyo'!I56*'Datos de Proyecto'!G23)</f>
        <v>0</v>
      </c>
      <c r="G6" s="300">
        <f>'Formula de apoyo'!M56*'Datos de Proyecto'!G23</f>
        <v>0</v>
      </c>
      <c r="H6" s="300">
        <f>'Formula de apoyo'!N56*'Datos de Proyecto'!G23</f>
        <v>0</v>
      </c>
      <c r="I6" s="300">
        <f t="shared" si="1"/>
        <v>0</v>
      </c>
      <c r="J6" s="328">
        <f>IF('Datos de Proyecto'!$D$32&lt;&gt;0,IF('Datos de Proyecto'!$D$32="S-5! PROTEA II",'Formula de apoyo'!I56*'Datos de Proyecto'!G23,'Cuenta total'!F6),0)</f>
        <v>0</v>
      </c>
      <c r="L6" s="303">
        <f>'Formula de apoyo'!K7*'Datos de Proyecto'!J23</f>
        <v>0</v>
      </c>
      <c r="M6" s="299">
        <f>'Formula de apoyo'!N7*'Datos de Proyecto'!J23</f>
        <v>0</v>
      </c>
      <c r="N6" s="299">
        <f>'Formula de apoyo'!O7*'Datos de Proyecto'!J23</f>
        <v>0</v>
      </c>
      <c r="O6" s="299">
        <f>'Formula de apoyo'!M7*'Datos de Proyecto'!J23</f>
        <v>0</v>
      </c>
      <c r="P6" s="299">
        <f>'Formula de apoyo'!L7*'Datos de Proyecto'!J23</f>
        <v>0</v>
      </c>
      <c r="Q6" s="299">
        <f>'Formula de apoyo'!J7*'Datos de Proyecto'!J23</f>
        <v>0</v>
      </c>
      <c r="R6" s="299">
        <f>'Formula de apoyo'!Q7*'Datos de Proyecto'!J23</f>
        <v>0</v>
      </c>
      <c r="S6" s="299">
        <f>'Formula de apoyo'!P7*'Datos de Proyecto'!J23</f>
        <v>0</v>
      </c>
      <c r="T6" s="299">
        <f t="shared" si="2"/>
        <v>0</v>
      </c>
      <c r="U6" s="112" t="str" cm="1">
        <f t="array" ref="U6">IFERROR(_xlfn.IFS('Datos de Proyecto'!$D$32="NOVOTEGRA M2 CLAMP",Q6,'Datos de Proyecto'!$D$32="SET JT3-SB-3-8.0x85/50",Q6),"")</f>
        <v/>
      </c>
      <c r="V6" s="299">
        <f>+'Formula de apoyo'!B7*'Datos de Proyecto'!J23</f>
        <v>0</v>
      </c>
      <c r="W6" s="307">
        <f>+'Formula de apoyo'!A7*'Datos de Proyecto'!J23</f>
        <v>0</v>
      </c>
      <c r="Y6" s="112">
        <f>+'Formula de apoyo'!M31*'Datos de Proyecto'!M23</f>
        <v>0</v>
      </c>
      <c r="Z6" s="112">
        <f>+'Formula de apoyo'!P31*'Datos de Proyecto'!M23</f>
        <v>0</v>
      </c>
      <c r="AA6" s="112">
        <f>'Formula de apoyo'!Q31*'Datos de Proyecto'!M23</f>
        <v>0</v>
      </c>
      <c r="AB6" s="112">
        <f>+'Formula de apoyo'!O31*'Datos de Proyecto'!M23</f>
        <v>0</v>
      </c>
      <c r="AC6" s="112">
        <f>+'Formula de apoyo'!N31*'Datos de Proyecto'!M23</f>
        <v>0</v>
      </c>
      <c r="AD6" s="112">
        <f>+'Formula de apoyo'!L31*'Datos de Proyecto'!M23</f>
        <v>0</v>
      </c>
      <c r="AE6" s="112">
        <f>+'Formula de apoyo'!S31*'Datos de Proyecto'!M23</f>
        <v>0</v>
      </c>
      <c r="AF6" s="112">
        <f>+'Formula de apoyo'!R31*'Datos de Proyecto'!M23</f>
        <v>0</v>
      </c>
      <c r="AG6" s="112">
        <f>+'Formula de apoyo'!T31*'Datos de Proyecto'!M23</f>
        <v>0</v>
      </c>
      <c r="AH6" s="112" t="str" cm="1">
        <f t="array" ref="AH6">IFERROR(_xlfn.IFS('Datos de Proyecto'!$D$32="NOVOTEGRA M2 CLAMP",AD6,'Datos de Proyecto'!$D$32="SET JT3-SB-3-8.0x85/50",AD6),"")</f>
        <v/>
      </c>
      <c r="AI6" s="112">
        <f>+'Formula de apoyo'!B31*'Datos de Proyecto'!M23</f>
        <v>0</v>
      </c>
      <c r="AJ6" s="112">
        <f>+'Formula de apoyo'!A31*'Datos de Proyecto'!M23</f>
        <v>0</v>
      </c>
      <c r="AL6" s="333">
        <f>IF('Calculo de Span'!O38&gt;14,"ERROR",SUM(AM6:AN6))</f>
        <v>0</v>
      </c>
      <c r="AM6" s="112">
        <f>IF('Datos de Proyecto'!P23=0,0,4*'Datos de Proyecto'!P23)</f>
        <v>0</v>
      </c>
      <c r="AN6" s="112">
        <f>IF('Datos de Proyecto'!P23=0,0,(('Datos de Proyecto'!Q23-1)*2)*'Datos de Proyecto'!P23)</f>
        <v>0</v>
      </c>
      <c r="AO6" s="112">
        <f>'Datos de Proyecto'!P23</f>
        <v>0</v>
      </c>
      <c r="AP6" s="334">
        <f t="shared" si="3"/>
        <v>0</v>
      </c>
    </row>
    <row r="7" spans="2:42">
      <c r="B7" s="335">
        <v>4</v>
      </c>
      <c r="C7" s="336">
        <f>'Formula de apoyo'!J57*'Datos de Proyecto'!G24</f>
        <v>0</v>
      </c>
      <c r="D7" s="336">
        <f>'Formula de apoyo'!K57*'Datos de Proyecto'!G24</f>
        <v>0</v>
      </c>
      <c r="E7" s="336">
        <f>'Formula de apoyo'!L57*'Datos de Proyecto'!G24</f>
        <v>0</v>
      </c>
      <c r="F7" s="300">
        <f>IF('Datos de Proyecto'!$D$32="S-5! PROTEA II","",'Formula de apoyo'!I57*'Datos de Proyecto'!G24)</f>
        <v>0</v>
      </c>
      <c r="G7" s="336">
        <f>'Formula de apoyo'!M57*'Datos de Proyecto'!G24</f>
        <v>0</v>
      </c>
      <c r="H7" s="336">
        <f>'Formula de apoyo'!N57*'Datos de Proyecto'!G24</f>
        <v>0</v>
      </c>
      <c r="I7" s="336">
        <f t="shared" si="1"/>
        <v>0</v>
      </c>
      <c r="J7" s="328">
        <f>IF('Datos de Proyecto'!$D$32&lt;&gt;0,IF('Datos de Proyecto'!$D$32="S-5! PROTEA II",'Formula de apoyo'!I57*'Datos de Proyecto'!G24,'Cuenta total'!F7),0)</f>
        <v>0</v>
      </c>
      <c r="L7" s="335">
        <f>'Formula de apoyo'!K8*'Datos de Proyecto'!J24</f>
        <v>0</v>
      </c>
      <c r="M7" s="336">
        <f>'Formula de apoyo'!N8*'Datos de Proyecto'!J24</f>
        <v>0</v>
      </c>
      <c r="N7" s="336">
        <f>'Formula de apoyo'!O8*'Datos de Proyecto'!J24</f>
        <v>0</v>
      </c>
      <c r="O7" s="336">
        <f>'Formula de apoyo'!M8*'Datos de Proyecto'!J24</f>
        <v>0</v>
      </c>
      <c r="P7" s="336">
        <f>'Formula de apoyo'!L8*'Datos de Proyecto'!J24</f>
        <v>0</v>
      </c>
      <c r="Q7" s="336">
        <f>'Formula de apoyo'!J8*'Datos de Proyecto'!J24</f>
        <v>0</v>
      </c>
      <c r="R7" s="336">
        <f>'Formula de apoyo'!Q8*'Datos de Proyecto'!J24</f>
        <v>0</v>
      </c>
      <c r="S7" s="336">
        <f>'Formula de apoyo'!P8*'Datos de Proyecto'!J24</f>
        <v>0</v>
      </c>
      <c r="T7" s="336">
        <f t="shared" si="2"/>
        <v>0</v>
      </c>
      <c r="U7" s="338" t="str" cm="1">
        <f t="array" ref="U7">IFERROR(_xlfn.IFS('Datos de Proyecto'!$D$32="NOVOTEGRA M2 CLAMP",Q7,'Datos de Proyecto'!$D$32="SET JT3-SB-3-8.0x85/50",Q7),"")</f>
        <v/>
      </c>
      <c r="V7" s="336">
        <f>+'Formula de apoyo'!B8*'Datos de Proyecto'!J24</f>
        <v>0</v>
      </c>
      <c r="W7" s="337">
        <f>+'Formula de apoyo'!A8*'Datos de Proyecto'!J24</f>
        <v>0</v>
      </c>
      <c r="Y7" s="338">
        <f>+'Formula de apoyo'!M32*'Datos de Proyecto'!M24</f>
        <v>0</v>
      </c>
      <c r="Z7" s="338">
        <f>+'Formula de apoyo'!P32*'Datos de Proyecto'!M24</f>
        <v>0</v>
      </c>
      <c r="AA7" s="338">
        <f>'Formula de apoyo'!Q32*'Datos de Proyecto'!M24</f>
        <v>0</v>
      </c>
      <c r="AB7" s="338">
        <f>+'Formula de apoyo'!O32*'Datos de Proyecto'!M24</f>
        <v>0</v>
      </c>
      <c r="AC7" s="338">
        <f>+'Formula de apoyo'!N32*'Datos de Proyecto'!M24</f>
        <v>0</v>
      </c>
      <c r="AD7" s="338">
        <f>+'Formula de apoyo'!L32*'Datos de Proyecto'!M24</f>
        <v>0</v>
      </c>
      <c r="AE7" s="338">
        <f>+'Formula de apoyo'!S32*'Datos de Proyecto'!M24</f>
        <v>0</v>
      </c>
      <c r="AF7" s="338">
        <f>+'Formula de apoyo'!R32*'Datos de Proyecto'!M24</f>
        <v>0</v>
      </c>
      <c r="AG7" s="338">
        <f>+'Formula de apoyo'!T32*'Datos de Proyecto'!M24</f>
        <v>0</v>
      </c>
      <c r="AH7" s="338" t="str" cm="1">
        <f t="array" ref="AH7">IFERROR(_xlfn.IFS('Datos de Proyecto'!$D$32="NOVOTEGRA M2 CLAMP",AD7,'Datos de Proyecto'!$D$32="SET JT3-SB-3-8.0x85/50",AD7),"")</f>
        <v/>
      </c>
      <c r="AI7" s="338">
        <f>+'Formula de apoyo'!B32*'Datos de Proyecto'!M24</f>
        <v>0</v>
      </c>
      <c r="AJ7" s="338">
        <f>+'Formula de apoyo'!A32*'Datos de Proyecto'!M24</f>
        <v>0</v>
      </c>
      <c r="AL7" s="339">
        <f>IF('Calculo de Span'!O39&gt;14,"ERROR",SUM(AM7:AN7))</f>
        <v>0</v>
      </c>
      <c r="AM7" s="338">
        <f>IF('Datos de Proyecto'!P24=0,0,4*'Datos de Proyecto'!P24)</f>
        <v>0</v>
      </c>
      <c r="AN7" s="338">
        <f>IF('Datos de Proyecto'!P24=0,0,(('Datos de Proyecto'!Q24-1)*2)*'Datos de Proyecto'!P24)</f>
        <v>0</v>
      </c>
      <c r="AO7" s="338">
        <f>'Datos de Proyecto'!P24</f>
        <v>0</v>
      </c>
      <c r="AP7" s="340">
        <f t="shared" si="3"/>
        <v>0</v>
      </c>
    </row>
    <row r="8" spans="2:42">
      <c r="B8" s="332">
        <v>5</v>
      </c>
      <c r="C8" s="300">
        <f>'Formula de apoyo'!J58*'Datos de Proyecto'!G25</f>
        <v>0</v>
      </c>
      <c r="D8" s="300">
        <f>'Formula de apoyo'!K58*'Datos de Proyecto'!G25</f>
        <v>0</v>
      </c>
      <c r="E8" s="300">
        <f>'Formula de apoyo'!L58*'Datos de Proyecto'!G25</f>
        <v>0</v>
      </c>
      <c r="F8" s="300">
        <f>IF('Datos de Proyecto'!$D$32="S-5! PROTEA II","",'Formula de apoyo'!I58*'Datos de Proyecto'!G25)</f>
        <v>0</v>
      </c>
      <c r="G8" s="300">
        <f>'Formula de apoyo'!M58*'Datos de Proyecto'!G25</f>
        <v>0</v>
      </c>
      <c r="H8" s="300">
        <f>'Formula de apoyo'!N58*'Datos de Proyecto'!G25</f>
        <v>0</v>
      </c>
      <c r="I8" s="300">
        <f t="shared" si="1"/>
        <v>0</v>
      </c>
      <c r="J8" s="328">
        <f>IF('Datos de Proyecto'!$D$32&lt;&gt;0,IF('Datos de Proyecto'!$D$32="S-5! PROTEA II",'Formula de apoyo'!I58*'Datos de Proyecto'!G25,'Cuenta total'!F8),0)</f>
        <v>0</v>
      </c>
      <c r="L8" s="303">
        <f>'Formula de apoyo'!K9*'Datos de Proyecto'!J25</f>
        <v>0</v>
      </c>
      <c r="M8" s="299">
        <f>'Formula de apoyo'!N9*'Datos de Proyecto'!J25</f>
        <v>0</v>
      </c>
      <c r="N8" s="299">
        <f>'Formula de apoyo'!O9*'Datos de Proyecto'!J25</f>
        <v>0</v>
      </c>
      <c r="O8" s="299">
        <f>'Formula de apoyo'!M9*'Datos de Proyecto'!J25</f>
        <v>0</v>
      </c>
      <c r="P8" s="299">
        <f>'Formula de apoyo'!L9*'Datos de Proyecto'!J25</f>
        <v>0</v>
      </c>
      <c r="Q8" s="299">
        <f>'Formula de apoyo'!J9*'Datos de Proyecto'!J25</f>
        <v>0</v>
      </c>
      <c r="R8" s="299">
        <f>'Formula de apoyo'!Q9*'Datos de Proyecto'!J25</f>
        <v>0</v>
      </c>
      <c r="S8" s="299">
        <f>'Formula de apoyo'!P9*'Datos de Proyecto'!J25</f>
        <v>0</v>
      </c>
      <c r="T8" s="299">
        <f t="shared" si="2"/>
        <v>0</v>
      </c>
      <c r="U8" s="112" t="str" cm="1">
        <f t="array" ref="U8">IFERROR(_xlfn.IFS('Datos de Proyecto'!$D$32="NOVOTEGRA M2 CLAMP",Q8,'Datos de Proyecto'!$D$32="SET JT3-SB-3-8.0x85/50",Q8),"")</f>
        <v/>
      </c>
      <c r="V8" s="299">
        <f>+'Formula de apoyo'!B9*'Datos de Proyecto'!J25</f>
        <v>0</v>
      </c>
      <c r="W8" s="307">
        <f>+'Formula de apoyo'!A9*'Datos de Proyecto'!J25</f>
        <v>0</v>
      </c>
      <c r="Y8" s="112">
        <f>+'Formula de apoyo'!M33*'Datos de Proyecto'!M25</f>
        <v>0</v>
      </c>
      <c r="Z8" s="112">
        <f>+'Formula de apoyo'!P33*'Datos de Proyecto'!M25</f>
        <v>0</v>
      </c>
      <c r="AA8" s="112">
        <f>'Formula de apoyo'!Q33*'Datos de Proyecto'!M25</f>
        <v>0</v>
      </c>
      <c r="AB8" s="112">
        <f>+'Formula de apoyo'!O33*'Datos de Proyecto'!M25</f>
        <v>0</v>
      </c>
      <c r="AC8" s="112">
        <f>+'Formula de apoyo'!N33*'Datos de Proyecto'!M25</f>
        <v>0</v>
      </c>
      <c r="AD8" s="112">
        <f>+'Formula de apoyo'!L33*'Datos de Proyecto'!M25</f>
        <v>0</v>
      </c>
      <c r="AE8" s="112">
        <f>+'Formula de apoyo'!S33*'Datos de Proyecto'!M25</f>
        <v>0</v>
      </c>
      <c r="AF8" s="112">
        <f>+'Formula de apoyo'!R33*'Datos de Proyecto'!M25</f>
        <v>0</v>
      </c>
      <c r="AG8" s="112">
        <f>+'Formula de apoyo'!T33*'Datos de Proyecto'!M25</f>
        <v>0</v>
      </c>
      <c r="AH8" s="112" t="str" cm="1">
        <f t="array" ref="AH8">IFERROR(_xlfn.IFS('Datos de Proyecto'!$D$32="NOVOTEGRA M2 CLAMP",AD8,'Datos de Proyecto'!$D$32="SET JT3-SB-3-8.0x85/50",AD8),"")</f>
        <v/>
      </c>
      <c r="AI8" s="112">
        <f>+'Formula de apoyo'!B33*'Datos de Proyecto'!M25</f>
        <v>0</v>
      </c>
      <c r="AJ8" s="112">
        <f>+'Formula de apoyo'!A33*'Datos de Proyecto'!M25</f>
        <v>0</v>
      </c>
      <c r="AL8" s="341">
        <f>IF('Calculo de Span'!O40&gt;14,"ERROR",SUM(AM8:AN8))</f>
        <v>0</v>
      </c>
      <c r="AM8" s="112">
        <f>IF('Datos de Proyecto'!P25=0,0,4*'Datos de Proyecto'!P25)</f>
        <v>0</v>
      </c>
      <c r="AN8" s="342">
        <f>IF('Datos de Proyecto'!P25=0,0,(('Datos de Proyecto'!Q25-1)*2)*'Datos de Proyecto'!P25)</f>
        <v>0</v>
      </c>
      <c r="AO8" s="112">
        <f>'Datos de Proyecto'!P25</f>
        <v>0</v>
      </c>
      <c r="AP8" s="334">
        <f t="shared" si="3"/>
        <v>0</v>
      </c>
    </row>
    <row r="9" spans="2:42">
      <c r="B9" s="335">
        <v>6</v>
      </c>
      <c r="C9" s="336">
        <f>'Formula de apoyo'!J59*'Datos de Proyecto'!G26</f>
        <v>0</v>
      </c>
      <c r="D9" s="336">
        <f>'Formula de apoyo'!K59*'Datos de Proyecto'!G26</f>
        <v>0</v>
      </c>
      <c r="E9" s="336">
        <f>'Formula de apoyo'!L59*'Datos de Proyecto'!G26</f>
        <v>0</v>
      </c>
      <c r="F9" s="300">
        <f>IF('Datos de Proyecto'!$D$32="S-5! PROTEA II","",'Formula de apoyo'!I59*'Datos de Proyecto'!G26)</f>
        <v>0</v>
      </c>
      <c r="G9" s="336">
        <f>'Formula de apoyo'!M59*'Datos de Proyecto'!G26</f>
        <v>0</v>
      </c>
      <c r="H9" s="336">
        <f>'Formula de apoyo'!N59*'Datos de Proyecto'!G26</f>
        <v>0</v>
      </c>
      <c r="I9" s="336">
        <f t="shared" si="1"/>
        <v>0</v>
      </c>
      <c r="J9" s="328">
        <f>IF('Datos de Proyecto'!$D$32&lt;&gt;0,IF('Datos de Proyecto'!$D$32="S-5! PROTEA II",'Formula de apoyo'!I59*'Datos de Proyecto'!G26,'Cuenta total'!F9),0)</f>
        <v>0</v>
      </c>
      <c r="L9" s="335">
        <f>'Formula de apoyo'!K10*'Datos de Proyecto'!J26</f>
        <v>0</v>
      </c>
      <c r="M9" s="336">
        <f>'Formula de apoyo'!N10*'Datos de Proyecto'!J26</f>
        <v>0</v>
      </c>
      <c r="N9" s="336">
        <f>'Formula de apoyo'!O10*'Datos de Proyecto'!J26</f>
        <v>0</v>
      </c>
      <c r="O9" s="336">
        <f>'Formula de apoyo'!M10*'Datos de Proyecto'!J26</f>
        <v>0</v>
      </c>
      <c r="P9" s="336">
        <f>'Formula de apoyo'!L10*'Datos de Proyecto'!J26</f>
        <v>0</v>
      </c>
      <c r="Q9" s="336">
        <f>'Formula de apoyo'!J10*'Datos de Proyecto'!J26</f>
        <v>0</v>
      </c>
      <c r="R9" s="336">
        <f>'Formula de apoyo'!Q10*'Datos de Proyecto'!J26</f>
        <v>0</v>
      </c>
      <c r="S9" s="336">
        <f>'Formula de apoyo'!P10*'Datos de Proyecto'!J26</f>
        <v>0</v>
      </c>
      <c r="T9" s="336">
        <f t="shared" si="2"/>
        <v>0</v>
      </c>
      <c r="U9" s="338" t="str" cm="1">
        <f t="array" ref="U9">IFERROR(_xlfn.IFS('Datos de Proyecto'!$D$32="NOVOTEGRA M2 CLAMP",Q9,'Datos de Proyecto'!$D$32="SET JT3-SB-3-8.0x85/50",Q9),"")</f>
        <v/>
      </c>
      <c r="V9" s="336">
        <f>+'Formula de apoyo'!B10*'Datos de Proyecto'!J26</f>
        <v>0</v>
      </c>
      <c r="W9" s="337">
        <f>+'Formula de apoyo'!A10*'Datos de Proyecto'!J26</f>
        <v>0</v>
      </c>
      <c r="Y9" s="338">
        <f>+'Formula de apoyo'!M34*'Datos de Proyecto'!M26</f>
        <v>0</v>
      </c>
      <c r="Z9" s="338">
        <f>+'Formula de apoyo'!P34*'Datos de Proyecto'!M26</f>
        <v>0</v>
      </c>
      <c r="AA9" s="338">
        <f>'Formula de apoyo'!Q34*'Datos de Proyecto'!M26</f>
        <v>0</v>
      </c>
      <c r="AB9" s="338">
        <f>+'Formula de apoyo'!O34*'Datos de Proyecto'!M26</f>
        <v>0</v>
      </c>
      <c r="AC9" s="338">
        <f>+'Formula de apoyo'!N34*'Datos de Proyecto'!M26</f>
        <v>0</v>
      </c>
      <c r="AD9" s="338">
        <f>+'Formula de apoyo'!L34*'Datos de Proyecto'!M26</f>
        <v>0</v>
      </c>
      <c r="AE9" s="338">
        <f>+'Formula de apoyo'!S34*'Datos de Proyecto'!M26</f>
        <v>0</v>
      </c>
      <c r="AF9" s="338">
        <f>+'Formula de apoyo'!R34*'Datos de Proyecto'!M26</f>
        <v>0</v>
      </c>
      <c r="AG9" s="338">
        <f>+'Formula de apoyo'!T34*'Datos de Proyecto'!M26</f>
        <v>0</v>
      </c>
      <c r="AH9" s="338" t="str" cm="1">
        <f t="array" ref="AH9">IFERROR(_xlfn.IFS('Datos de Proyecto'!$D$32="NOVOTEGRA M2 CLAMP",AD9,'Datos de Proyecto'!$D$32="SET JT3-SB-3-8.0x85/50",AD9),"")</f>
        <v/>
      </c>
      <c r="AI9" s="338">
        <f>+'Formula de apoyo'!B34*'Datos de Proyecto'!M26</f>
        <v>0</v>
      </c>
      <c r="AJ9" s="338">
        <f>+'Formula de apoyo'!A34*'Datos de Proyecto'!M26</f>
        <v>0</v>
      </c>
      <c r="AL9" s="339">
        <f>IF('Calculo de Span'!O41&gt;14,"ERROR",SUM(AM9:AN9))</f>
        <v>0</v>
      </c>
      <c r="AM9" s="338">
        <f>IF('Datos de Proyecto'!P26=0,0,4*'Datos de Proyecto'!P26)</f>
        <v>0</v>
      </c>
      <c r="AN9" s="338">
        <f>IF('Datos de Proyecto'!P26=0,0,(('Datos de Proyecto'!Q26-1)*2)*'Datos de Proyecto'!P26)</f>
        <v>0</v>
      </c>
      <c r="AO9" s="338">
        <f>'Datos de Proyecto'!P26</f>
        <v>0</v>
      </c>
      <c r="AP9" s="340">
        <f t="shared" si="3"/>
        <v>0</v>
      </c>
    </row>
    <row r="10" spans="2:42">
      <c r="B10" s="332">
        <v>7</v>
      </c>
      <c r="C10" s="300">
        <f>'Formula de apoyo'!J60*'Datos de Proyecto'!G27</f>
        <v>0</v>
      </c>
      <c r="D10" s="300">
        <f>'Formula de apoyo'!K60*'Datos de Proyecto'!G27</f>
        <v>0</v>
      </c>
      <c r="E10" s="300">
        <f>'Formula de apoyo'!L60*'Datos de Proyecto'!G27</f>
        <v>0</v>
      </c>
      <c r="F10" s="300">
        <f>IF('Datos de Proyecto'!$D$32="S-5! PROTEA II","",'Formula de apoyo'!I60*'Datos de Proyecto'!G27)</f>
        <v>0</v>
      </c>
      <c r="G10" s="300">
        <f>'Formula de apoyo'!M60*'Datos de Proyecto'!G27</f>
        <v>0</v>
      </c>
      <c r="H10" s="300">
        <f>'Formula de apoyo'!N60*'Datos de Proyecto'!G27</f>
        <v>0</v>
      </c>
      <c r="I10" s="300">
        <f t="shared" si="1"/>
        <v>0</v>
      </c>
      <c r="J10" s="328">
        <f>IF('Datos de Proyecto'!$D$32&lt;&gt;0,IF('Datos de Proyecto'!$D$32="S-5! PROTEA II",'Formula de apoyo'!I60*'Datos de Proyecto'!G27,'Cuenta total'!F10),0)</f>
        <v>0</v>
      </c>
      <c r="L10" s="303">
        <f>'Formula de apoyo'!K11*'Datos de Proyecto'!J27</f>
        <v>0</v>
      </c>
      <c r="M10" s="299">
        <f>'Formula de apoyo'!N11*'Datos de Proyecto'!J27</f>
        <v>0</v>
      </c>
      <c r="N10" s="299">
        <f>'Formula de apoyo'!O11*'Datos de Proyecto'!J27</f>
        <v>0</v>
      </c>
      <c r="O10" s="299">
        <f>'Formula de apoyo'!M11*'Datos de Proyecto'!J27</f>
        <v>0</v>
      </c>
      <c r="P10" s="299">
        <f>'Formula de apoyo'!L11*'Datos de Proyecto'!J27</f>
        <v>0</v>
      </c>
      <c r="Q10" s="299">
        <f>'Formula de apoyo'!J11*'Datos de Proyecto'!J27</f>
        <v>0</v>
      </c>
      <c r="R10" s="299">
        <f>'Formula de apoyo'!Q11*'Datos de Proyecto'!J27</f>
        <v>0</v>
      </c>
      <c r="S10" s="299">
        <f>'Formula de apoyo'!P11*'Datos de Proyecto'!J27</f>
        <v>0</v>
      </c>
      <c r="T10" s="299">
        <f t="shared" si="2"/>
        <v>0</v>
      </c>
      <c r="U10" s="112" t="str" cm="1">
        <f t="array" ref="U10">IFERROR(_xlfn.IFS('Datos de Proyecto'!$D$32="NOVOTEGRA M2 CLAMP",Q10,'Datos de Proyecto'!$D$32="SET JT3-SB-3-8.0x85/50",Q10),"")</f>
        <v/>
      </c>
      <c r="V10" s="299">
        <f>+'Formula de apoyo'!B11*'Datos de Proyecto'!J27</f>
        <v>0</v>
      </c>
      <c r="W10" s="307">
        <f>+'Formula de apoyo'!A11*'Datos de Proyecto'!J27</f>
        <v>0</v>
      </c>
      <c r="Y10" s="112">
        <f>+'Formula de apoyo'!M35*'Datos de Proyecto'!M27</f>
        <v>0</v>
      </c>
      <c r="Z10" s="112">
        <f>+'Formula de apoyo'!P35*'Datos de Proyecto'!M27</f>
        <v>0</v>
      </c>
      <c r="AA10" s="112">
        <f>'Formula de apoyo'!Q35*'Datos de Proyecto'!M27</f>
        <v>0</v>
      </c>
      <c r="AB10" s="112">
        <f>+'Formula de apoyo'!O35*'Datos de Proyecto'!M27</f>
        <v>0</v>
      </c>
      <c r="AC10" s="112">
        <f>+'Formula de apoyo'!N35*'Datos de Proyecto'!M27</f>
        <v>0</v>
      </c>
      <c r="AD10" s="112">
        <f>+'Formula de apoyo'!L35*'Datos de Proyecto'!M27</f>
        <v>0</v>
      </c>
      <c r="AE10" s="112">
        <f>+'Formula de apoyo'!S35*'Datos de Proyecto'!M27</f>
        <v>0</v>
      </c>
      <c r="AF10" s="112">
        <f>+'Formula de apoyo'!R35*'Datos de Proyecto'!M27</f>
        <v>0</v>
      </c>
      <c r="AG10" s="112">
        <f>+'Formula de apoyo'!T35*'Datos de Proyecto'!M27</f>
        <v>0</v>
      </c>
      <c r="AH10" s="112" t="str" cm="1">
        <f t="array" ref="AH10">IFERROR(_xlfn.IFS('Datos de Proyecto'!$D$32="NOVOTEGRA M2 CLAMP",AD10,'Datos de Proyecto'!$D$32="SET JT3-SB-3-8.0x85/50",AD10),"")</f>
        <v/>
      </c>
      <c r="AI10" s="112">
        <f>+'Formula de apoyo'!B35*'Datos de Proyecto'!M27</f>
        <v>0</v>
      </c>
      <c r="AJ10" s="112">
        <f>+'Formula de apoyo'!A35*'Datos de Proyecto'!M27</f>
        <v>0</v>
      </c>
      <c r="AL10" s="333">
        <f>IF('Calculo de Span'!O42&gt;14,"ERROR",SUM(AM10:AN10))</f>
        <v>0</v>
      </c>
      <c r="AM10" s="112">
        <f>IF('Datos de Proyecto'!P27=0,0,4*'Datos de Proyecto'!P27)</f>
        <v>0</v>
      </c>
      <c r="AN10" s="112">
        <f>IF('Datos de Proyecto'!P27=0,0,(('Datos de Proyecto'!Q27-1)*2)*'Datos de Proyecto'!P27)</f>
        <v>0</v>
      </c>
      <c r="AO10" s="112">
        <f>'Datos de Proyecto'!P27</f>
        <v>0</v>
      </c>
      <c r="AP10" s="334">
        <f t="shared" si="3"/>
        <v>0</v>
      </c>
    </row>
    <row r="11" spans="2:42">
      <c r="B11" s="335">
        <v>8</v>
      </c>
      <c r="C11" s="336">
        <f>'Formula de apoyo'!J61*'Datos de Proyecto'!G28</f>
        <v>0</v>
      </c>
      <c r="D11" s="336">
        <f>'Formula de apoyo'!K61*'Datos de Proyecto'!G28</f>
        <v>0</v>
      </c>
      <c r="E11" s="336">
        <f>'Formula de apoyo'!L61*'Datos de Proyecto'!G28</f>
        <v>0</v>
      </c>
      <c r="F11" s="300">
        <f>IF('Datos de Proyecto'!$D$32="S-5! PROTEA II","",'Formula de apoyo'!I61*'Datos de Proyecto'!G28)</f>
        <v>0</v>
      </c>
      <c r="G11" s="336">
        <f>'Formula de apoyo'!M61*'Datos de Proyecto'!G28</f>
        <v>0</v>
      </c>
      <c r="H11" s="336">
        <f>'Formula de apoyo'!N61*'Datos de Proyecto'!G28</f>
        <v>0</v>
      </c>
      <c r="I11" s="336">
        <f t="shared" si="1"/>
        <v>0</v>
      </c>
      <c r="J11" s="328">
        <f>IF('Datos de Proyecto'!$D$32&lt;&gt;0,IF('Datos de Proyecto'!$D$32="S-5! PROTEA II",'Formula de apoyo'!I61*'Datos de Proyecto'!G28,'Cuenta total'!F11),0)</f>
        <v>0</v>
      </c>
      <c r="L11" s="335">
        <f>'Formula de apoyo'!K12*'Datos de Proyecto'!J28</f>
        <v>0</v>
      </c>
      <c r="M11" s="336">
        <f>'Formula de apoyo'!N12*'Datos de Proyecto'!J28</f>
        <v>0</v>
      </c>
      <c r="N11" s="336">
        <f>'Formula de apoyo'!O12*'Datos de Proyecto'!J28</f>
        <v>0</v>
      </c>
      <c r="O11" s="336">
        <f>'Formula de apoyo'!M12*'Datos de Proyecto'!J28</f>
        <v>0</v>
      </c>
      <c r="P11" s="336">
        <f>'Formula de apoyo'!L12*'Datos de Proyecto'!J28</f>
        <v>0</v>
      </c>
      <c r="Q11" s="336">
        <f>'Formula de apoyo'!J12*'Datos de Proyecto'!J28</f>
        <v>0</v>
      </c>
      <c r="R11" s="336">
        <f>'Formula de apoyo'!Q12*'Datos de Proyecto'!J28</f>
        <v>0</v>
      </c>
      <c r="S11" s="336">
        <f>'Formula de apoyo'!P12*'Datos de Proyecto'!J28</f>
        <v>0</v>
      </c>
      <c r="T11" s="336">
        <f t="shared" si="2"/>
        <v>0</v>
      </c>
      <c r="U11" s="338" t="str" cm="1">
        <f t="array" ref="U11">IFERROR(_xlfn.IFS('Datos de Proyecto'!$D$32="NOVOTEGRA M2 CLAMP",Q11,'Datos de Proyecto'!$D$32="SET JT3-SB-3-8.0x85/50",Q11),"")</f>
        <v/>
      </c>
      <c r="V11" s="336">
        <f>+'Formula de apoyo'!B12*'Datos de Proyecto'!J28</f>
        <v>0</v>
      </c>
      <c r="W11" s="337">
        <f>+'Formula de apoyo'!A12*'Datos de Proyecto'!J28</f>
        <v>0</v>
      </c>
      <c r="Y11" s="338">
        <f>+'Formula de apoyo'!M36*'Datos de Proyecto'!M28</f>
        <v>0</v>
      </c>
      <c r="Z11" s="338">
        <f>+'Formula de apoyo'!P36*'Datos de Proyecto'!M28</f>
        <v>0</v>
      </c>
      <c r="AA11" s="338">
        <f>'Formula de apoyo'!Q36*'Datos de Proyecto'!M28</f>
        <v>0</v>
      </c>
      <c r="AB11" s="338">
        <f>+'Formula de apoyo'!O36*'Datos de Proyecto'!M28</f>
        <v>0</v>
      </c>
      <c r="AC11" s="338">
        <f>+'Formula de apoyo'!N36*'Datos de Proyecto'!M28</f>
        <v>0</v>
      </c>
      <c r="AD11" s="338">
        <f>+'Formula de apoyo'!L36*'Datos de Proyecto'!M28</f>
        <v>0</v>
      </c>
      <c r="AE11" s="338">
        <f>+'Formula de apoyo'!S36*'Datos de Proyecto'!M28</f>
        <v>0</v>
      </c>
      <c r="AF11" s="338">
        <f>+'Formula de apoyo'!R36*'Datos de Proyecto'!M28</f>
        <v>0</v>
      </c>
      <c r="AG11" s="338">
        <f>+'Formula de apoyo'!T36*'Datos de Proyecto'!M28</f>
        <v>0</v>
      </c>
      <c r="AH11" s="338" t="str" cm="1">
        <f t="array" ref="AH11">IFERROR(_xlfn.IFS('Datos de Proyecto'!$D$32="NOVOTEGRA M2 CLAMP",AD11,'Datos de Proyecto'!$D$32="SET JT3-SB-3-8.0x85/50",AD11),"")</f>
        <v/>
      </c>
      <c r="AI11" s="338">
        <f>+'Formula de apoyo'!B36*'Datos de Proyecto'!M28</f>
        <v>0</v>
      </c>
      <c r="AJ11" s="338">
        <f>+'Formula de apoyo'!A36*'Datos de Proyecto'!M28</f>
        <v>0</v>
      </c>
      <c r="AL11" s="339">
        <f>IF('Calculo de Span'!O43&gt;14,"ERROR",SUM(AM11:AN11))</f>
        <v>0</v>
      </c>
      <c r="AM11" s="338">
        <f>IF('Datos de Proyecto'!P28=0,0,4*'Datos de Proyecto'!P28)</f>
        <v>0</v>
      </c>
      <c r="AN11" s="338">
        <f>IF('Datos de Proyecto'!P28=0,0,(('Datos de Proyecto'!Q28-1)*2)*'Datos de Proyecto'!P28)</f>
        <v>0</v>
      </c>
      <c r="AO11" s="338">
        <f>'Datos de Proyecto'!P28</f>
        <v>0</v>
      </c>
      <c r="AP11" s="340">
        <f t="shared" si="3"/>
        <v>0</v>
      </c>
    </row>
    <row r="12" spans="2:42">
      <c r="B12" s="332">
        <v>9</v>
      </c>
      <c r="C12" s="300">
        <f>'Formula de apoyo'!J62*'Datos de Proyecto'!G29</f>
        <v>0</v>
      </c>
      <c r="D12" s="300">
        <f>'Formula de apoyo'!K62*'Datos de Proyecto'!G29</f>
        <v>0</v>
      </c>
      <c r="E12" s="300">
        <f>'Formula de apoyo'!L62*'Datos de Proyecto'!G29</f>
        <v>0</v>
      </c>
      <c r="F12" s="300">
        <f>IF('Datos de Proyecto'!$D$32="S-5! PROTEA II","",'Formula de apoyo'!I62*'Datos de Proyecto'!G29)</f>
        <v>0</v>
      </c>
      <c r="G12" s="300">
        <f>'Formula de apoyo'!M62*'Datos de Proyecto'!G29</f>
        <v>0</v>
      </c>
      <c r="H12" s="300">
        <f>'Formula de apoyo'!N62*'Datos de Proyecto'!G29</f>
        <v>0</v>
      </c>
      <c r="I12" s="300">
        <f t="shared" si="1"/>
        <v>0</v>
      </c>
      <c r="J12" s="328">
        <f>IF('Datos de Proyecto'!$D$32&lt;&gt;0,IF('Datos de Proyecto'!$D$32="S-5! PROTEA II",'Formula de apoyo'!I62*'Datos de Proyecto'!G29,'Cuenta total'!F12),0)</f>
        <v>0</v>
      </c>
      <c r="L12" s="303">
        <f>'Formula de apoyo'!K13*'Datos de Proyecto'!J29</f>
        <v>0</v>
      </c>
      <c r="M12" s="299">
        <f>'Formula de apoyo'!N13*'Datos de Proyecto'!J29</f>
        <v>0</v>
      </c>
      <c r="N12" s="299">
        <f>'Formula de apoyo'!O13*'Datos de Proyecto'!J29</f>
        <v>0</v>
      </c>
      <c r="O12" s="299">
        <f>'Formula de apoyo'!M13*'Datos de Proyecto'!J29</f>
        <v>0</v>
      </c>
      <c r="P12" s="299">
        <f>'Formula de apoyo'!L13*'Datos de Proyecto'!J29</f>
        <v>0</v>
      </c>
      <c r="Q12" s="299">
        <f>'Formula de apoyo'!J13*'Datos de Proyecto'!J29</f>
        <v>0</v>
      </c>
      <c r="R12" s="299">
        <f>'Formula de apoyo'!Q13*'Datos de Proyecto'!J29</f>
        <v>0</v>
      </c>
      <c r="S12" s="299">
        <f>'Formula de apoyo'!P13*'Datos de Proyecto'!J29</f>
        <v>0</v>
      </c>
      <c r="T12" s="299">
        <f t="shared" si="2"/>
        <v>0</v>
      </c>
      <c r="U12" s="112" t="str" cm="1">
        <f t="array" ref="U12">IFERROR(_xlfn.IFS('Datos de Proyecto'!$D$32="NOVOTEGRA M2 CLAMP",Q12,'Datos de Proyecto'!$D$32="SET JT3-SB-3-8.0x85/50",Q12),"")</f>
        <v/>
      </c>
      <c r="V12" s="299">
        <f>+'Formula de apoyo'!B13*'Datos de Proyecto'!J29</f>
        <v>0</v>
      </c>
      <c r="W12" s="307">
        <f>+'Formula de apoyo'!A13*'Datos de Proyecto'!J29</f>
        <v>0</v>
      </c>
      <c r="Y12" s="112">
        <f>+'Formula de apoyo'!M37*'Datos de Proyecto'!M29</f>
        <v>0</v>
      </c>
      <c r="Z12" s="112">
        <f>+'Formula de apoyo'!P37*'Datos de Proyecto'!M29</f>
        <v>0</v>
      </c>
      <c r="AA12" s="112">
        <f>'Formula de apoyo'!Q37*'Datos de Proyecto'!M29</f>
        <v>0</v>
      </c>
      <c r="AB12" s="112">
        <f>+'Formula de apoyo'!O37*'Datos de Proyecto'!M29</f>
        <v>0</v>
      </c>
      <c r="AC12" s="112">
        <f>+'Formula de apoyo'!N37*'Datos de Proyecto'!M29</f>
        <v>0</v>
      </c>
      <c r="AD12" s="112">
        <f>+'Formula de apoyo'!L37*'Datos de Proyecto'!M29</f>
        <v>0</v>
      </c>
      <c r="AE12" s="112">
        <f>+'Formula de apoyo'!S37*'Datos de Proyecto'!M29</f>
        <v>0</v>
      </c>
      <c r="AF12" s="112">
        <f>+'Formula de apoyo'!R37*'Datos de Proyecto'!M29</f>
        <v>0</v>
      </c>
      <c r="AG12" s="112">
        <f>+'Formula de apoyo'!T37*'Datos de Proyecto'!M29</f>
        <v>0</v>
      </c>
      <c r="AH12" s="112" t="str" cm="1">
        <f t="array" ref="AH12">IFERROR(_xlfn.IFS('Datos de Proyecto'!$D$32="NOVOTEGRA M2 CLAMP",AD12,'Datos de Proyecto'!$D$32="SET JT3-SB-3-8.0x85/50",AD12),"")</f>
        <v/>
      </c>
      <c r="AI12" s="112">
        <f>+'Formula de apoyo'!B37*'Datos de Proyecto'!M29</f>
        <v>0</v>
      </c>
      <c r="AJ12" s="112">
        <f>+'Formula de apoyo'!A37*'Datos de Proyecto'!M29</f>
        <v>0</v>
      </c>
      <c r="AL12" s="333">
        <f>IF('Calculo de Span'!O44&gt;14,"ERROR",SUM(AM12:AN12))</f>
        <v>0</v>
      </c>
      <c r="AM12" s="112">
        <f>IF('Datos de Proyecto'!P29=0,0,4*'Datos de Proyecto'!P29)</f>
        <v>0</v>
      </c>
      <c r="AN12" s="112">
        <f>IF('Datos de Proyecto'!P29=0,0,(('Datos de Proyecto'!Q29-1)*2)*'Datos de Proyecto'!P29)</f>
        <v>0</v>
      </c>
      <c r="AO12" s="112">
        <f>'Datos de Proyecto'!P29</f>
        <v>0</v>
      </c>
      <c r="AP12" s="334">
        <f t="shared" si="3"/>
        <v>0</v>
      </c>
    </row>
    <row r="13" spans="2:42">
      <c r="B13" s="335">
        <v>10</v>
      </c>
      <c r="C13" s="336">
        <f>'Formula de apoyo'!J63*'Datos de Proyecto'!G30</f>
        <v>0</v>
      </c>
      <c r="D13" s="336">
        <f>'Formula de apoyo'!K63*'Datos de Proyecto'!G30</f>
        <v>0</v>
      </c>
      <c r="E13" s="336">
        <f>'Formula de apoyo'!L63*'Datos de Proyecto'!G30</f>
        <v>0</v>
      </c>
      <c r="F13" s="300">
        <f>IF('Datos de Proyecto'!$D$32="S-5! PROTEA II","",'Formula de apoyo'!I63*'Datos de Proyecto'!G30)</f>
        <v>0</v>
      </c>
      <c r="G13" s="336">
        <f>'Formula de apoyo'!M63*'Datos de Proyecto'!G30</f>
        <v>0</v>
      </c>
      <c r="H13" s="336">
        <f>'Formula de apoyo'!N63*'Datos de Proyecto'!G30</f>
        <v>0</v>
      </c>
      <c r="I13" s="336">
        <f t="shared" si="1"/>
        <v>0</v>
      </c>
      <c r="J13" s="328">
        <f>IF('Datos de Proyecto'!$D$32&lt;&gt;0,IF('Datos de Proyecto'!$D$32="S-5! PROTEA II",'Formula de apoyo'!I63*'Datos de Proyecto'!G30,'Cuenta total'!F13),0)</f>
        <v>0</v>
      </c>
      <c r="L13" s="335">
        <f>'Formula de apoyo'!K14*'Datos de Proyecto'!J30</f>
        <v>0</v>
      </c>
      <c r="M13" s="336">
        <f>'Formula de apoyo'!N14*'Datos de Proyecto'!J30</f>
        <v>0</v>
      </c>
      <c r="N13" s="336">
        <f>'Formula de apoyo'!O14*'Datos de Proyecto'!J30</f>
        <v>0</v>
      </c>
      <c r="O13" s="336">
        <f>'Formula de apoyo'!M14*'Datos de Proyecto'!J30</f>
        <v>0</v>
      </c>
      <c r="P13" s="336">
        <f>'Formula de apoyo'!L14*'Datos de Proyecto'!J30</f>
        <v>0</v>
      </c>
      <c r="Q13" s="336">
        <f>'Formula de apoyo'!J14*'Datos de Proyecto'!J30</f>
        <v>0</v>
      </c>
      <c r="R13" s="336">
        <f>'Formula de apoyo'!Q14*'Datos de Proyecto'!J30</f>
        <v>0</v>
      </c>
      <c r="S13" s="336">
        <f>'Formula de apoyo'!P14*'Datos de Proyecto'!J30</f>
        <v>0</v>
      </c>
      <c r="T13" s="336">
        <f t="shared" si="2"/>
        <v>0</v>
      </c>
      <c r="U13" s="338" t="str" cm="1">
        <f t="array" ref="U13">IFERROR(_xlfn.IFS('Datos de Proyecto'!$D$32="NOVOTEGRA M2 CLAMP",Q13,'Datos de Proyecto'!$D$32="SET JT3-SB-3-8.0x85/50",Q13),"")</f>
        <v/>
      </c>
      <c r="V13" s="336">
        <f>+'Formula de apoyo'!B14*'Datos de Proyecto'!J30</f>
        <v>0</v>
      </c>
      <c r="W13" s="337">
        <f>+'Formula de apoyo'!A14*'Datos de Proyecto'!J30</f>
        <v>0</v>
      </c>
      <c r="Y13" s="338">
        <f>+'Formula de apoyo'!M38*'Datos de Proyecto'!M30</f>
        <v>0</v>
      </c>
      <c r="Z13" s="338">
        <f>+'Formula de apoyo'!P38*'Datos de Proyecto'!M30</f>
        <v>0</v>
      </c>
      <c r="AA13" s="338">
        <f>'Formula de apoyo'!Q38*'Datos de Proyecto'!M30</f>
        <v>0</v>
      </c>
      <c r="AB13" s="338">
        <f>+'Formula de apoyo'!O38*'Datos de Proyecto'!M30</f>
        <v>0</v>
      </c>
      <c r="AC13" s="338">
        <f>+'Formula de apoyo'!N38*'Datos de Proyecto'!M30</f>
        <v>0</v>
      </c>
      <c r="AD13" s="338">
        <f>+'Formula de apoyo'!L38*'Datos de Proyecto'!M30</f>
        <v>0</v>
      </c>
      <c r="AE13" s="338">
        <f>+'Formula de apoyo'!S38*'Datos de Proyecto'!M30</f>
        <v>0</v>
      </c>
      <c r="AF13" s="338">
        <f>+'Formula de apoyo'!R38*'Datos de Proyecto'!M30</f>
        <v>0</v>
      </c>
      <c r="AG13" s="338">
        <f>+'Formula de apoyo'!T38*'Datos de Proyecto'!M30</f>
        <v>0</v>
      </c>
      <c r="AH13" s="338" t="str" cm="1">
        <f t="array" ref="AH13">IFERROR(_xlfn.IFS('Datos de Proyecto'!$D$32="NOVOTEGRA M2 CLAMP",AD13,'Datos de Proyecto'!$D$32="SET JT3-SB-3-8.0x85/50",AD13),"")</f>
        <v/>
      </c>
      <c r="AI13" s="338">
        <f>+'Formula de apoyo'!B38*'Datos de Proyecto'!M30</f>
        <v>0</v>
      </c>
      <c r="AJ13" s="338">
        <f>+'Formula de apoyo'!A38*'Datos de Proyecto'!M30</f>
        <v>0</v>
      </c>
      <c r="AL13" s="339">
        <f>IF('Calculo de Span'!O45&gt;14,"ERROR",SUM(AM13:AN13))</f>
        <v>0</v>
      </c>
      <c r="AM13" s="338">
        <f>IF('Datos de Proyecto'!P30=0,0,4*'Datos de Proyecto'!P30)</f>
        <v>0</v>
      </c>
      <c r="AN13" s="338">
        <f>IF('Datos de Proyecto'!P30=0,0,(('Datos de Proyecto'!Q30-1)*2)*'Datos de Proyecto'!P30)</f>
        <v>0</v>
      </c>
      <c r="AO13" s="338">
        <f>'Datos de Proyecto'!P30</f>
        <v>0</v>
      </c>
      <c r="AP13" s="340">
        <f t="shared" si="3"/>
        <v>0</v>
      </c>
    </row>
    <row r="14" spans="2:42">
      <c r="B14" s="332">
        <v>11</v>
      </c>
      <c r="C14" s="300">
        <f>'Formula de apoyo'!J64*'Datos de Proyecto'!G31</f>
        <v>0</v>
      </c>
      <c r="D14" s="300">
        <f>'Formula de apoyo'!K64*'Datos de Proyecto'!G31</f>
        <v>0</v>
      </c>
      <c r="E14" s="300">
        <f>'Formula de apoyo'!L64*'Datos de Proyecto'!G31</f>
        <v>0</v>
      </c>
      <c r="F14" s="300">
        <f>IF('Datos de Proyecto'!$D$32="S-5! PROTEA II","",'Formula de apoyo'!I64*'Datos de Proyecto'!G31)</f>
        <v>0</v>
      </c>
      <c r="G14" s="300">
        <f>'Formula de apoyo'!M64*'Datos de Proyecto'!G31</f>
        <v>0</v>
      </c>
      <c r="H14" s="300">
        <f>'Formula de apoyo'!N64*'Datos de Proyecto'!G31</f>
        <v>0</v>
      </c>
      <c r="I14" s="300">
        <f t="shared" si="1"/>
        <v>0</v>
      </c>
      <c r="J14" s="328">
        <f>IF('Datos de Proyecto'!$D$32&lt;&gt;0,IF('Datos de Proyecto'!$D$32="S-5! PROTEA II",'Formula de apoyo'!I64*'Datos de Proyecto'!G31,'Cuenta total'!F14),0)</f>
        <v>0</v>
      </c>
      <c r="L14" s="303">
        <f>'Formula de apoyo'!K15*'Datos de Proyecto'!J31</f>
        <v>0</v>
      </c>
      <c r="M14" s="299">
        <f>'Formula de apoyo'!N15*'Datos de Proyecto'!J31</f>
        <v>0</v>
      </c>
      <c r="N14" s="299">
        <f>'Formula de apoyo'!O15*'Datos de Proyecto'!J31</f>
        <v>0</v>
      </c>
      <c r="O14" s="299">
        <f>'Formula de apoyo'!M15*'Datos de Proyecto'!J31</f>
        <v>0</v>
      </c>
      <c r="P14" s="299">
        <f>'Formula de apoyo'!L15*'Datos de Proyecto'!J31</f>
        <v>0</v>
      </c>
      <c r="Q14" s="299">
        <f>'Formula de apoyo'!J15*'Datos de Proyecto'!J31</f>
        <v>0</v>
      </c>
      <c r="R14" s="299">
        <f>'Formula de apoyo'!Q15*'Datos de Proyecto'!J31</f>
        <v>0</v>
      </c>
      <c r="S14" s="299">
        <f>'Formula de apoyo'!P15*'Datos de Proyecto'!J31</f>
        <v>0</v>
      </c>
      <c r="T14" s="299">
        <f t="shared" si="2"/>
        <v>0</v>
      </c>
      <c r="U14" s="112" t="str" cm="1">
        <f t="array" ref="U14">IFERROR(_xlfn.IFS('Datos de Proyecto'!$D$32="NOVOTEGRA M2 CLAMP",Q14,'Datos de Proyecto'!$D$32="SET JT3-SB-3-8.0x85/50",Q14),"")</f>
        <v/>
      </c>
      <c r="V14" s="299">
        <f>+'Formula de apoyo'!B15*'Datos de Proyecto'!J31</f>
        <v>0</v>
      </c>
      <c r="W14" s="307">
        <f>+'Formula de apoyo'!A15*'Datos de Proyecto'!J31</f>
        <v>0</v>
      </c>
      <c r="Y14" s="112">
        <f>+'Formula de apoyo'!M39*'Datos de Proyecto'!M31</f>
        <v>0</v>
      </c>
      <c r="Z14" s="112">
        <f>+'Formula de apoyo'!P39*'Datos de Proyecto'!M31</f>
        <v>0</v>
      </c>
      <c r="AA14" s="112">
        <f>'Formula de apoyo'!Q39*'Datos de Proyecto'!M31</f>
        <v>0</v>
      </c>
      <c r="AB14" s="112">
        <f>+'Formula de apoyo'!O39*'Datos de Proyecto'!M31</f>
        <v>0</v>
      </c>
      <c r="AC14" s="112">
        <f>+'Formula de apoyo'!N39*'Datos de Proyecto'!M31</f>
        <v>0</v>
      </c>
      <c r="AD14" s="112">
        <f>+'Formula de apoyo'!L39*'Datos de Proyecto'!M31</f>
        <v>0</v>
      </c>
      <c r="AE14" s="112">
        <f>+'Formula de apoyo'!S39*'Datos de Proyecto'!M31</f>
        <v>0</v>
      </c>
      <c r="AF14" s="112">
        <f>+'Formula de apoyo'!R39*'Datos de Proyecto'!M31</f>
        <v>0</v>
      </c>
      <c r="AG14" s="112">
        <f>+'Formula de apoyo'!T39*'Datos de Proyecto'!M31</f>
        <v>0</v>
      </c>
      <c r="AH14" s="112" t="str" cm="1">
        <f t="array" ref="AH14">IFERROR(_xlfn.IFS('Datos de Proyecto'!$D$32="NOVOTEGRA M2 CLAMP",AD14,'Datos de Proyecto'!$D$32="SET JT3-SB-3-8.0x85/50",AD14),"")</f>
        <v/>
      </c>
      <c r="AI14" s="112">
        <f>+'Formula de apoyo'!B39*'Datos de Proyecto'!M31</f>
        <v>0</v>
      </c>
      <c r="AJ14" s="112">
        <f>+'Formula de apoyo'!A39*'Datos de Proyecto'!M31</f>
        <v>0</v>
      </c>
      <c r="AL14" s="333">
        <f>IF('Calculo de Span'!O46&gt;14,"ERROR",SUM(AM14:AN14))</f>
        <v>0</v>
      </c>
      <c r="AM14" s="112">
        <f>IF('Datos de Proyecto'!P31=0,0,4*'Datos de Proyecto'!P31)</f>
        <v>0</v>
      </c>
      <c r="AN14" s="112">
        <f>IF('Datos de Proyecto'!P31=0,0,(('Datos de Proyecto'!Q31-1)*2)*'Datos de Proyecto'!P31)</f>
        <v>0</v>
      </c>
      <c r="AO14" s="112">
        <f>'Datos de Proyecto'!P31</f>
        <v>0</v>
      </c>
      <c r="AP14" s="334">
        <f t="shared" si="3"/>
        <v>0</v>
      </c>
    </row>
    <row r="15" spans="2:42">
      <c r="B15" s="335">
        <v>12</v>
      </c>
      <c r="C15" s="336">
        <f>'Formula de apoyo'!J65*'Datos de Proyecto'!G32</f>
        <v>0</v>
      </c>
      <c r="D15" s="336">
        <f>'Formula de apoyo'!K65*'Datos de Proyecto'!G32</f>
        <v>0</v>
      </c>
      <c r="E15" s="336">
        <f>'Formula de apoyo'!L65*'Datos de Proyecto'!G32</f>
        <v>0</v>
      </c>
      <c r="F15" s="300">
        <f>IF('Datos de Proyecto'!$D$32="S-5! PROTEA II","",'Formula de apoyo'!I65*'Datos de Proyecto'!G32)</f>
        <v>0</v>
      </c>
      <c r="G15" s="336">
        <f>'Formula de apoyo'!M65*'Datos de Proyecto'!G32</f>
        <v>0</v>
      </c>
      <c r="H15" s="336">
        <f>'Formula de apoyo'!N65*'Datos de Proyecto'!G32</f>
        <v>0</v>
      </c>
      <c r="I15" s="336">
        <f t="shared" si="1"/>
        <v>0</v>
      </c>
      <c r="J15" s="328">
        <f>IF('Datos de Proyecto'!$D$32&lt;&gt;0,IF('Datos de Proyecto'!$D$32="S-5! PROTEA II",'Formula de apoyo'!I65*'Datos de Proyecto'!G32,'Cuenta total'!F15),0)</f>
        <v>0</v>
      </c>
      <c r="L15" s="335">
        <f>'Formula de apoyo'!K16*'Datos de Proyecto'!J32</f>
        <v>0</v>
      </c>
      <c r="M15" s="336">
        <f>'Formula de apoyo'!N16*'Datos de Proyecto'!J32</f>
        <v>0</v>
      </c>
      <c r="N15" s="336">
        <f>'Formula de apoyo'!O16*'Datos de Proyecto'!J32</f>
        <v>0</v>
      </c>
      <c r="O15" s="336">
        <f>'Formula de apoyo'!M16*'Datos de Proyecto'!J32</f>
        <v>0</v>
      </c>
      <c r="P15" s="336">
        <f>'Formula de apoyo'!L16*'Datos de Proyecto'!J32</f>
        <v>0</v>
      </c>
      <c r="Q15" s="336">
        <f>'Formula de apoyo'!J16*'Datos de Proyecto'!J32</f>
        <v>0</v>
      </c>
      <c r="R15" s="336">
        <f>'Formula de apoyo'!Q16*'Datos de Proyecto'!J32</f>
        <v>0</v>
      </c>
      <c r="S15" s="336">
        <f>'Formula de apoyo'!P16*'Datos de Proyecto'!J32</f>
        <v>0</v>
      </c>
      <c r="T15" s="336">
        <f t="shared" si="2"/>
        <v>0</v>
      </c>
      <c r="U15" s="338" t="str" cm="1">
        <f t="array" ref="U15">IFERROR(_xlfn.IFS('Datos de Proyecto'!$D$32="NOVOTEGRA M2 CLAMP",Q15,'Datos de Proyecto'!$D$32="SET JT3-SB-3-8.0x85/50",Q15),"")</f>
        <v/>
      </c>
      <c r="V15" s="336">
        <f>+'Formula de apoyo'!B16*'Datos de Proyecto'!J32</f>
        <v>0</v>
      </c>
      <c r="W15" s="337">
        <f>+'Formula de apoyo'!A16*'Datos de Proyecto'!J32</f>
        <v>0</v>
      </c>
      <c r="Y15" s="338">
        <f>+'Formula de apoyo'!M40*'Datos de Proyecto'!M32</f>
        <v>0</v>
      </c>
      <c r="Z15" s="338">
        <f>+'Formula de apoyo'!P40*'Datos de Proyecto'!M32</f>
        <v>0</v>
      </c>
      <c r="AA15" s="338">
        <f>'Formula de apoyo'!Q40*'Datos de Proyecto'!M32</f>
        <v>0</v>
      </c>
      <c r="AB15" s="338">
        <f>+'Formula de apoyo'!O40*'Datos de Proyecto'!M32</f>
        <v>0</v>
      </c>
      <c r="AC15" s="338">
        <f>+'Formula de apoyo'!N40*'Datos de Proyecto'!M32</f>
        <v>0</v>
      </c>
      <c r="AD15" s="338">
        <f>+'Formula de apoyo'!L40*'Datos de Proyecto'!M32</f>
        <v>0</v>
      </c>
      <c r="AE15" s="338">
        <f>+'Formula de apoyo'!S40*'Datos de Proyecto'!M32</f>
        <v>0</v>
      </c>
      <c r="AF15" s="338">
        <f>+'Formula de apoyo'!R40*'Datos de Proyecto'!M32</f>
        <v>0</v>
      </c>
      <c r="AG15" s="338">
        <f>+'Formula de apoyo'!T40*'Datos de Proyecto'!M32</f>
        <v>0</v>
      </c>
      <c r="AH15" s="338" t="str" cm="1">
        <f t="array" ref="AH15">IFERROR(_xlfn.IFS('Datos de Proyecto'!$D$32="NOVOTEGRA M2 CLAMP",AD15,'Datos de Proyecto'!$D$32="SET JT3-SB-3-8.0x85/50",AD15),"")</f>
        <v/>
      </c>
      <c r="AI15" s="338">
        <f>+'Formula de apoyo'!B40*'Datos de Proyecto'!M32</f>
        <v>0</v>
      </c>
      <c r="AJ15" s="338">
        <f>+'Formula de apoyo'!A40*'Datos de Proyecto'!M32</f>
        <v>0</v>
      </c>
      <c r="AL15" s="339">
        <f>IF('Calculo de Span'!O47&gt;14,"ERROR",SUM(AM15:AN15))</f>
        <v>0</v>
      </c>
      <c r="AM15" s="338">
        <f>IF('Datos de Proyecto'!P32=0,0,4*'Datos de Proyecto'!P32)</f>
        <v>0</v>
      </c>
      <c r="AN15" s="338">
        <f>IF('Datos de Proyecto'!P32=0,0,(('Datos de Proyecto'!Q32-1)*2)*'Datos de Proyecto'!P32)</f>
        <v>0</v>
      </c>
      <c r="AO15" s="338">
        <f>'Datos de Proyecto'!P32</f>
        <v>0</v>
      </c>
      <c r="AP15" s="340">
        <f t="shared" si="3"/>
        <v>0</v>
      </c>
    </row>
    <row r="16" spans="2:42">
      <c r="B16" s="332">
        <v>13</v>
      </c>
      <c r="C16" s="300">
        <f>'Formula de apoyo'!J66*'Datos de Proyecto'!G33</f>
        <v>0</v>
      </c>
      <c r="D16" s="300">
        <f>'Formula de apoyo'!K66*'Datos de Proyecto'!G33</f>
        <v>0</v>
      </c>
      <c r="E16" s="300">
        <f>'Formula de apoyo'!L66*'Datos de Proyecto'!G33</f>
        <v>0</v>
      </c>
      <c r="F16" s="300">
        <f>IF('Datos de Proyecto'!$D$32="S-5! PROTEA II","",'Formula de apoyo'!I66*'Datos de Proyecto'!G33)</f>
        <v>0</v>
      </c>
      <c r="G16" s="300">
        <f>'Formula de apoyo'!M66*'Datos de Proyecto'!G33</f>
        <v>0</v>
      </c>
      <c r="H16" s="300">
        <f>'Formula de apoyo'!N66*'Datos de Proyecto'!G33</f>
        <v>0</v>
      </c>
      <c r="I16" s="300">
        <f t="shared" si="1"/>
        <v>0</v>
      </c>
      <c r="J16" s="328">
        <f>IF('Datos de Proyecto'!$D$32&lt;&gt;0,IF('Datos de Proyecto'!$D$32="S-5! PROTEA II",'Formula de apoyo'!I66*'Datos de Proyecto'!G33,'Cuenta total'!F16),0)</f>
        <v>0</v>
      </c>
      <c r="L16" s="303">
        <f>'Formula de apoyo'!K17*'Datos de Proyecto'!J33</f>
        <v>0</v>
      </c>
      <c r="M16" s="299">
        <f>'Formula de apoyo'!N17*'Datos de Proyecto'!J33</f>
        <v>0</v>
      </c>
      <c r="N16" s="299">
        <f>'Formula de apoyo'!O17*'Datos de Proyecto'!J33</f>
        <v>0</v>
      </c>
      <c r="O16" s="299">
        <f>'Formula de apoyo'!M17*'Datos de Proyecto'!J33</f>
        <v>0</v>
      </c>
      <c r="P16" s="299">
        <f>'Formula de apoyo'!L17*'Datos de Proyecto'!J33</f>
        <v>0</v>
      </c>
      <c r="Q16" s="299">
        <f>'Formula de apoyo'!J17*'Datos de Proyecto'!J33</f>
        <v>0</v>
      </c>
      <c r="R16" s="299">
        <f>'Formula de apoyo'!Q17*'Datos de Proyecto'!J33</f>
        <v>0</v>
      </c>
      <c r="S16" s="299">
        <f>'Formula de apoyo'!P17*'Datos de Proyecto'!J33</f>
        <v>0</v>
      </c>
      <c r="T16" s="299">
        <f t="shared" si="2"/>
        <v>0</v>
      </c>
      <c r="U16" s="112" t="str" cm="1">
        <f t="array" ref="U16">IFERROR(_xlfn.IFS('Datos de Proyecto'!$D$32="NOVOTEGRA M2 CLAMP",Q16,'Datos de Proyecto'!$D$32="SET JT3-SB-3-8.0x85/50",Q16),"")</f>
        <v/>
      </c>
      <c r="V16" s="299">
        <f>+'Formula de apoyo'!B17*'Datos de Proyecto'!J33</f>
        <v>0</v>
      </c>
      <c r="W16" s="307">
        <f>+'Formula de apoyo'!A17*'Datos de Proyecto'!J33</f>
        <v>0</v>
      </c>
      <c r="Y16" s="112">
        <f>+'Formula de apoyo'!M41*'Datos de Proyecto'!M33</f>
        <v>0</v>
      </c>
      <c r="Z16" s="112">
        <f>+'Formula de apoyo'!P41*'Datos de Proyecto'!M33</f>
        <v>0</v>
      </c>
      <c r="AA16" s="112">
        <f>'Formula de apoyo'!Q41*'Datos de Proyecto'!M33</f>
        <v>0</v>
      </c>
      <c r="AB16" s="112">
        <f>+'Formula de apoyo'!O41*'Datos de Proyecto'!M33</f>
        <v>0</v>
      </c>
      <c r="AC16" s="112">
        <f>+'Formula de apoyo'!N41*'Datos de Proyecto'!M33</f>
        <v>0</v>
      </c>
      <c r="AD16" s="112">
        <f>+'Formula de apoyo'!L41*'Datos de Proyecto'!M33</f>
        <v>0</v>
      </c>
      <c r="AE16" s="112">
        <f>+'Formula de apoyo'!S41*'Datos de Proyecto'!M33</f>
        <v>0</v>
      </c>
      <c r="AF16" s="112">
        <f>+'Formula de apoyo'!R41*'Datos de Proyecto'!M33</f>
        <v>0</v>
      </c>
      <c r="AG16" s="112">
        <f>+'Formula de apoyo'!T41*'Datos de Proyecto'!M33</f>
        <v>0</v>
      </c>
      <c r="AH16" s="112" t="str" cm="1">
        <f t="array" ref="AH16">IFERROR(_xlfn.IFS('Datos de Proyecto'!$D$32="NOVOTEGRA M2 CLAMP",AD16,'Datos de Proyecto'!$D$32="SET JT3-SB-3-8.0x85/50",AD16),"")</f>
        <v/>
      </c>
      <c r="AI16" s="112">
        <f>+'Formula de apoyo'!B41*'Datos de Proyecto'!M33</f>
        <v>0</v>
      </c>
      <c r="AJ16" s="112">
        <f>+'Formula de apoyo'!A41*'Datos de Proyecto'!M33</f>
        <v>0</v>
      </c>
      <c r="AL16" s="333">
        <f>IF('Calculo de Span'!O48&gt;14,"ERROR",SUM(AM16:AN16))</f>
        <v>0</v>
      </c>
      <c r="AM16" s="112">
        <f>IF('Datos de Proyecto'!P33=0,0,4*'Datos de Proyecto'!P33)</f>
        <v>0</v>
      </c>
      <c r="AN16" s="112">
        <f>IF('Datos de Proyecto'!P33=0,0,(('Datos de Proyecto'!Q33-1)*2)*'Datos de Proyecto'!P33)</f>
        <v>0</v>
      </c>
      <c r="AO16" s="112">
        <f>'Datos de Proyecto'!P33</f>
        <v>0</v>
      </c>
      <c r="AP16" s="334">
        <f t="shared" si="3"/>
        <v>0</v>
      </c>
    </row>
    <row r="17" spans="2:42">
      <c r="B17" s="335">
        <v>14</v>
      </c>
      <c r="C17" s="336">
        <f>'Formula de apoyo'!J67*'Datos de Proyecto'!G34</f>
        <v>0</v>
      </c>
      <c r="D17" s="336">
        <f>'Formula de apoyo'!K67*'Datos de Proyecto'!G34</f>
        <v>0</v>
      </c>
      <c r="E17" s="336">
        <f>'Formula de apoyo'!L67*'Datos de Proyecto'!G34</f>
        <v>0</v>
      </c>
      <c r="F17" s="300">
        <f>IF('Datos de Proyecto'!$D$32="S-5! PROTEA II","",'Formula de apoyo'!I67*'Datos de Proyecto'!G34)</f>
        <v>0</v>
      </c>
      <c r="G17" s="336">
        <f>'Formula de apoyo'!M67*'Datos de Proyecto'!G34</f>
        <v>0</v>
      </c>
      <c r="H17" s="336">
        <f>'Formula de apoyo'!N67*'Datos de Proyecto'!G34</f>
        <v>0</v>
      </c>
      <c r="I17" s="336">
        <f t="shared" si="1"/>
        <v>0</v>
      </c>
      <c r="J17" s="328">
        <f>IF('Datos de Proyecto'!$D$32&lt;&gt;0,IF('Datos de Proyecto'!$D$32="S-5! PROTEA II",'Formula de apoyo'!I67*'Datos de Proyecto'!G34,'Cuenta total'!F17),0)</f>
        <v>0</v>
      </c>
      <c r="L17" s="335">
        <f>'Formula de apoyo'!K18*'Datos de Proyecto'!J34</f>
        <v>0</v>
      </c>
      <c r="M17" s="336">
        <f>'Formula de apoyo'!N18*'Datos de Proyecto'!J34</f>
        <v>0</v>
      </c>
      <c r="N17" s="336">
        <f>'Formula de apoyo'!O18*'Datos de Proyecto'!J34</f>
        <v>0</v>
      </c>
      <c r="O17" s="336">
        <f>'Formula de apoyo'!M18*'Datos de Proyecto'!J34</f>
        <v>0</v>
      </c>
      <c r="P17" s="336">
        <f>'Formula de apoyo'!L18*'Datos de Proyecto'!J34</f>
        <v>0</v>
      </c>
      <c r="Q17" s="336">
        <f>'Formula de apoyo'!J18*'Datos de Proyecto'!J34</f>
        <v>0</v>
      </c>
      <c r="R17" s="336">
        <f>'Formula de apoyo'!Q18*'Datos de Proyecto'!J34</f>
        <v>0</v>
      </c>
      <c r="S17" s="336">
        <f>'Formula de apoyo'!P18*'Datos de Proyecto'!J34</f>
        <v>0</v>
      </c>
      <c r="T17" s="336">
        <f t="shared" si="2"/>
        <v>0</v>
      </c>
      <c r="U17" s="338" t="str" cm="1">
        <f t="array" ref="U17">IFERROR(_xlfn.IFS('Datos de Proyecto'!$D$32="NOVOTEGRA M2 CLAMP",Q17,'Datos de Proyecto'!$D$32="SET JT3-SB-3-8.0x85/50",Q17),"")</f>
        <v/>
      </c>
      <c r="V17" s="336">
        <f>+'Formula de apoyo'!B18*'Datos de Proyecto'!J34</f>
        <v>0</v>
      </c>
      <c r="W17" s="337">
        <f>+'Formula de apoyo'!A18*'Datos de Proyecto'!J34</f>
        <v>0</v>
      </c>
      <c r="Y17" s="338">
        <f>+'Formula de apoyo'!M42*'Datos de Proyecto'!M34</f>
        <v>0</v>
      </c>
      <c r="Z17" s="338">
        <f>+'Formula de apoyo'!P42*'Datos de Proyecto'!M34</f>
        <v>0</v>
      </c>
      <c r="AA17" s="338">
        <f>'Formula de apoyo'!Q42*'Datos de Proyecto'!M34</f>
        <v>0</v>
      </c>
      <c r="AB17" s="338">
        <f>+'Formula de apoyo'!O42*'Datos de Proyecto'!M34</f>
        <v>0</v>
      </c>
      <c r="AC17" s="338">
        <f>+'Formula de apoyo'!N42*'Datos de Proyecto'!M34</f>
        <v>0</v>
      </c>
      <c r="AD17" s="338">
        <f>+'Formula de apoyo'!L42*'Datos de Proyecto'!M34</f>
        <v>0</v>
      </c>
      <c r="AE17" s="338">
        <f>+'Formula de apoyo'!S42*'Datos de Proyecto'!M34</f>
        <v>0</v>
      </c>
      <c r="AF17" s="338">
        <f>+'Formula de apoyo'!R42*'Datos de Proyecto'!M34</f>
        <v>0</v>
      </c>
      <c r="AG17" s="338">
        <f>+'Formula de apoyo'!T42*'Datos de Proyecto'!M34</f>
        <v>0</v>
      </c>
      <c r="AH17" s="338" t="str" cm="1">
        <f t="array" ref="AH17">IFERROR(_xlfn.IFS('Datos de Proyecto'!$D$32="NOVOTEGRA M2 CLAMP",AD17,'Datos de Proyecto'!$D$32="SET JT3-SB-3-8.0x85/50",AD17),"")</f>
        <v/>
      </c>
      <c r="AI17" s="338">
        <f>+'Formula de apoyo'!B42*'Datos de Proyecto'!M34</f>
        <v>0</v>
      </c>
      <c r="AJ17" s="338">
        <f>+'Formula de apoyo'!A42*'Datos de Proyecto'!M34</f>
        <v>0</v>
      </c>
      <c r="AL17" s="339">
        <f>IF('Calculo de Span'!O49&gt;14,"ERROR",SUM(AM17:AN17))</f>
        <v>0</v>
      </c>
      <c r="AM17" s="338">
        <f>IF('Datos de Proyecto'!P34=0,0,4*'Datos de Proyecto'!P34)</f>
        <v>0</v>
      </c>
      <c r="AN17" s="338">
        <f>IF('Datos de Proyecto'!P34=0,0,(('Datos de Proyecto'!Q34-1)*2)*'Datos de Proyecto'!P34)</f>
        <v>0</v>
      </c>
      <c r="AO17" s="338">
        <f>'Datos de Proyecto'!P34</f>
        <v>0</v>
      </c>
      <c r="AP17" s="340">
        <f t="shared" si="3"/>
        <v>0</v>
      </c>
    </row>
    <row r="18" spans="2:42">
      <c r="B18" s="332">
        <v>15</v>
      </c>
      <c r="C18" s="300">
        <f>'Formula de apoyo'!J68*'Datos de Proyecto'!G35</f>
        <v>0</v>
      </c>
      <c r="D18" s="300">
        <f>'Formula de apoyo'!K68*'Datos de Proyecto'!G35</f>
        <v>0</v>
      </c>
      <c r="E18" s="300">
        <f>'Formula de apoyo'!L68*'Datos de Proyecto'!G35</f>
        <v>0</v>
      </c>
      <c r="F18" s="300">
        <f>IF('Datos de Proyecto'!$D$32="S-5! PROTEA II","",'Formula de apoyo'!I68*'Datos de Proyecto'!G35)</f>
        <v>0</v>
      </c>
      <c r="G18" s="300">
        <f>'Formula de apoyo'!M68*'Datos de Proyecto'!G35</f>
        <v>0</v>
      </c>
      <c r="H18" s="300">
        <f>'Formula de apoyo'!N68*'Datos de Proyecto'!G35</f>
        <v>0</v>
      </c>
      <c r="I18" s="300">
        <f t="shared" si="1"/>
        <v>0</v>
      </c>
      <c r="J18" s="328">
        <f>IF('Datos de Proyecto'!$D$32&lt;&gt;0,IF('Datos de Proyecto'!$D$32="S-5! PROTEA II",'Formula de apoyo'!I68*'Datos de Proyecto'!G35,'Cuenta total'!F18),0)</f>
        <v>0</v>
      </c>
      <c r="L18" s="303">
        <f>'Formula de apoyo'!K19*'Datos de Proyecto'!J35</f>
        <v>0</v>
      </c>
      <c r="M18" s="299">
        <f>'Formula de apoyo'!N19*'Datos de Proyecto'!J35</f>
        <v>0</v>
      </c>
      <c r="N18" s="299">
        <f>'Formula de apoyo'!O19*'Datos de Proyecto'!J35</f>
        <v>0</v>
      </c>
      <c r="O18" s="299">
        <f>'Formula de apoyo'!M19*'Datos de Proyecto'!J35</f>
        <v>0</v>
      </c>
      <c r="P18" s="299">
        <f>'Formula de apoyo'!L19*'Datos de Proyecto'!J35</f>
        <v>0</v>
      </c>
      <c r="Q18" s="299">
        <f>'Formula de apoyo'!J19*'Datos de Proyecto'!J35</f>
        <v>0</v>
      </c>
      <c r="R18" s="299">
        <f>'Formula de apoyo'!Q19*'Datos de Proyecto'!J35</f>
        <v>0</v>
      </c>
      <c r="S18" s="299">
        <f>'Formula de apoyo'!P19*'Datos de Proyecto'!J35</f>
        <v>0</v>
      </c>
      <c r="T18" s="299">
        <f t="shared" si="2"/>
        <v>0</v>
      </c>
      <c r="U18" s="112" t="str" cm="1">
        <f t="array" ref="U18">IFERROR(_xlfn.IFS('Datos de Proyecto'!$D$32="NOVOTEGRA M2 CLAMP",Q18,'Datos de Proyecto'!$D$32="SET JT3-SB-3-8.0x85/50",Q18),"")</f>
        <v/>
      </c>
      <c r="V18" s="299">
        <f>+'Formula de apoyo'!B19*'Datos de Proyecto'!J35</f>
        <v>0</v>
      </c>
      <c r="W18" s="307">
        <f>+'Formula de apoyo'!A19*'Datos de Proyecto'!J35</f>
        <v>0</v>
      </c>
      <c r="Y18" s="112">
        <f>+'Formula de apoyo'!M43*'Datos de Proyecto'!M35</f>
        <v>0</v>
      </c>
      <c r="Z18" s="112">
        <f>+'Formula de apoyo'!P43*'Datos de Proyecto'!M35</f>
        <v>0</v>
      </c>
      <c r="AA18" s="112">
        <f>'Formula de apoyo'!Q43*'Datos de Proyecto'!M35</f>
        <v>0</v>
      </c>
      <c r="AB18" s="112">
        <f>+'Formula de apoyo'!O43*'Datos de Proyecto'!M35</f>
        <v>0</v>
      </c>
      <c r="AC18" s="112">
        <f>+'Formula de apoyo'!N43*'Datos de Proyecto'!M35</f>
        <v>0</v>
      </c>
      <c r="AD18" s="112">
        <f>+'Formula de apoyo'!L43*'Datos de Proyecto'!M35</f>
        <v>0</v>
      </c>
      <c r="AE18" s="112">
        <f>+'Formula de apoyo'!S43*'Datos de Proyecto'!M35</f>
        <v>0</v>
      </c>
      <c r="AF18" s="112">
        <f>+'Formula de apoyo'!R43*'Datos de Proyecto'!M35</f>
        <v>0</v>
      </c>
      <c r="AG18" s="112">
        <f>+'Formula de apoyo'!T43*'Datos de Proyecto'!M35</f>
        <v>0</v>
      </c>
      <c r="AH18" s="112" t="str" cm="1">
        <f t="array" ref="AH18">IFERROR(_xlfn.IFS('Datos de Proyecto'!$D$32="NOVOTEGRA M2 CLAMP",AD18,'Datos de Proyecto'!$D$32="SET JT3-SB-3-8.0x85/50",AD18),"")</f>
        <v/>
      </c>
      <c r="AI18" s="112">
        <f>+'Formula de apoyo'!B43*'Datos de Proyecto'!M35</f>
        <v>0</v>
      </c>
      <c r="AJ18" s="112">
        <f>+'Formula de apoyo'!A43*'Datos de Proyecto'!M35</f>
        <v>0</v>
      </c>
      <c r="AL18" s="333">
        <f>IF('Calculo de Span'!O50&gt;14,"ERROR",SUM(AM18:AN18))</f>
        <v>0</v>
      </c>
      <c r="AM18" s="112">
        <f>IF('Datos de Proyecto'!P35=0,0,4*'Datos de Proyecto'!P35)</f>
        <v>0</v>
      </c>
      <c r="AN18" s="112">
        <f>IF('Datos de Proyecto'!P35=0,0,(('Datos de Proyecto'!Q35-1)*2)*'Datos de Proyecto'!P35)</f>
        <v>0</v>
      </c>
      <c r="AO18" s="112">
        <f>'Datos de Proyecto'!P35</f>
        <v>0</v>
      </c>
      <c r="AP18" s="334">
        <f t="shared" si="3"/>
        <v>0</v>
      </c>
    </row>
    <row r="19" spans="2:42">
      <c r="B19" s="335">
        <v>16</v>
      </c>
      <c r="C19" s="336">
        <f>'Formula de apoyo'!J69*'Datos de Proyecto'!G36</f>
        <v>0</v>
      </c>
      <c r="D19" s="336">
        <f>'Formula de apoyo'!K69*'Datos de Proyecto'!G36</f>
        <v>0</v>
      </c>
      <c r="E19" s="336">
        <f>'Formula de apoyo'!L69*'Datos de Proyecto'!G36</f>
        <v>0</v>
      </c>
      <c r="F19" s="300">
        <f>IF('Datos de Proyecto'!$D$32="S-5! PROTEA II","",'Formula de apoyo'!I69*'Datos de Proyecto'!G36)</f>
        <v>0</v>
      </c>
      <c r="G19" s="336">
        <f>'Formula de apoyo'!M69*'Datos de Proyecto'!G36</f>
        <v>0</v>
      </c>
      <c r="H19" s="336">
        <f>'Formula de apoyo'!N69*'Datos de Proyecto'!G36</f>
        <v>0</v>
      </c>
      <c r="I19" s="336">
        <f t="shared" si="1"/>
        <v>0</v>
      </c>
      <c r="J19" s="328">
        <f>IF('Datos de Proyecto'!$D$32&lt;&gt;0,IF('Datos de Proyecto'!$D$32="S-5! PROTEA II",'Formula de apoyo'!I69*'Datos de Proyecto'!G36,'Cuenta total'!F19),0)</f>
        <v>0</v>
      </c>
      <c r="L19" s="335">
        <f>'Formula de apoyo'!K20*'Datos de Proyecto'!J36</f>
        <v>0</v>
      </c>
      <c r="M19" s="336">
        <f>'Formula de apoyo'!N20*'Datos de Proyecto'!J36</f>
        <v>0</v>
      </c>
      <c r="N19" s="336">
        <f>'Formula de apoyo'!O20*'Datos de Proyecto'!J36</f>
        <v>0</v>
      </c>
      <c r="O19" s="336">
        <f>'Formula de apoyo'!M20*'Datos de Proyecto'!J36</f>
        <v>0</v>
      </c>
      <c r="P19" s="336">
        <f>'Formula de apoyo'!L20*'Datos de Proyecto'!J36</f>
        <v>0</v>
      </c>
      <c r="Q19" s="336">
        <f>'Formula de apoyo'!J20*'Datos de Proyecto'!J36</f>
        <v>0</v>
      </c>
      <c r="R19" s="336">
        <f>'Formula de apoyo'!Q20*'Datos de Proyecto'!J36</f>
        <v>0</v>
      </c>
      <c r="S19" s="336">
        <f>'Formula de apoyo'!P20*'Datos de Proyecto'!J36</f>
        <v>0</v>
      </c>
      <c r="T19" s="336">
        <f t="shared" si="2"/>
        <v>0</v>
      </c>
      <c r="U19" s="338" t="str" cm="1">
        <f t="array" ref="U19">IFERROR(_xlfn.IFS('Datos de Proyecto'!$D$32="NOVOTEGRA M2 CLAMP",Q19,'Datos de Proyecto'!$D$32="SET JT3-SB-3-8.0x85/50",Q19),"")</f>
        <v/>
      </c>
      <c r="V19" s="336">
        <f>+'Formula de apoyo'!B20*'Datos de Proyecto'!J36</f>
        <v>0</v>
      </c>
      <c r="W19" s="337">
        <f>+'Formula de apoyo'!A20*'Datos de Proyecto'!J36</f>
        <v>0</v>
      </c>
      <c r="Y19" s="338">
        <f>+'Formula de apoyo'!M44*'Datos de Proyecto'!M36</f>
        <v>0</v>
      </c>
      <c r="Z19" s="338">
        <f>+'Formula de apoyo'!P44*'Datos de Proyecto'!M36</f>
        <v>0</v>
      </c>
      <c r="AA19" s="338">
        <f>'Formula de apoyo'!Q44*'Datos de Proyecto'!M36</f>
        <v>0</v>
      </c>
      <c r="AB19" s="338">
        <f>+'Formula de apoyo'!O44*'Datos de Proyecto'!M36</f>
        <v>0</v>
      </c>
      <c r="AC19" s="338">
        <f>+'Formula de apoyo'!N44*'Datos de Proyecto'!M36</f>
        <v>0</v>
      </c>
      <c r="AD19" s="338">
        <f>+'Formula de apoyo'!L44*'Datos de Proyecto'!M36</f>
        <v>0</v>
      </c>
      <c r="AE19" s="338">
        <f>+'Formula de apoyo'!S44*'Datos de Proyecto'!M36</f>
        <v>0</v>
      </c>
      <c r="AF19" s="338">
        <f>+'Formula de apoyo'!R44*'Datos de Proyecto'!M36</f>
        <v>0</v>
      </c>
      <c r="AG19" s="338">
        <f>+'Formula de apoyo'!T44*'Datos de Proyecto'!M36</f>
        <v>0</v>
      </c>
      <c r="AH19" s="338" t="str" cm="1">
        <f t="array" ref="AH19">IFERROR(_xlfn.IFS('Datos de Proyecto'!$D$32="NOVOTEGRA M2 CLAMP",AD19,'Datos de Proyecto'!$D$32="SET JT3-SB-3-8.0x85/50",AD19),"")</f>
        <v/>
      </c>
      <c r="AI19" s="338">
        <f>+'Formula de apoyo'!B44*'Datos de Proyecto'!M36</f>
        <v>0</v>
      </c>
      <c r="AJ19" s="338">
        <f>+'Formula de apoyo'!A44*'Datos de Proyecto'!M36</f>
        <v>0</v>
      </c>
      <c r="AL19" s="339">
        <f>IF('Calculo de Span'!O51&gt;14,"ERROR",SUM(AM19:AN19))</f>
        <v>0</v>
      </c>
      <c r="AM19" s="338">
        <f>IF('Datos de Proyecto'!P36=0,0,4*'Datos de Proyecto'!P36)</f>
        <v>0</v>
      </c>
      <c r="AN19" s="338">
        <f>IF('Datos de Proyecto'!P36=0,0,(('Datos de Proyecto'!Q36-1)*2)*'Datos de Proyecto'!P36)</f>
        <v>0</v>
      </c>
      <c r="AO19" s="338">
        <f>'Datos de Proyecto'!P36</f>
        <v>0</v>
      </c>
      <c r="AP19" s="340">
        <f t="shared" si="3"/>
        <v>0</v>
      </c>
    </row>
    <row r="20" spans="2:42">
      <c r="B20" s="332">
        <v>17</v>
      </c>
      <c r="C20" s="300">
        <f>'Formula de apoyo'!J70*'Datos de Proyecto'!G37</f>
        <v>0</v>
      </c>
      <c r="D20" s="300">
        <f>'Formula de apoyo'!K70*'Datos de Proyecto'!G37</f>
        <v>0</v>
      </c>
      <c r="E20" s="300">
        <f>'Formula de apoyo'!L70*'Datos de Proyecto'!G37</f>
        <v>0</v>
      </c>
      <c r="F20" s="300">
        <f>IF('Datos de Proyecto'!$D$32="S-5! PROTEA II","",'Formula de apoyo'!I70*'Datos de Proyecto'!G37)</f>
        <v>0</v>
      </c>
      <c r="G20" s="300">
        <f>'Formula de apoyo'!M70*'Datos de Proyecto'!G37</f>
        <v>0</v>
      </c>
      <c r="H20" s="300">
        <f>'Formula de apoyo'!N70*'Datos de Proyecto'!G37</f>
        <v>0</v>
      </c>
      <c r="I20" s="300">
        <f t="shared" si="1"/>
        <v>0</v>
      </c>
      <c r="J20" s="328">
        <f>IF('Datos de Proyecto'!$D$32&lt;&gt;0,IF('Datos de Proyecto'!$D$32="S-5! PROTEA II",'Formula de apoyo'!I70*'Datos de Proyecto'!G37,'Cuenta total'!F20),0)</f>
        <v>0</v>
      </c>
      <c r="L20" s="303">
        <f>'Formula de apoyo'!K21*'Datos de Proyecto'!J37</f>
        <v>0</v>
      </c>
      <c r="M20" s="299">
        <f>'Formula de apoyo'!N21*'Datos de Proyecto'!J37</f>
        <v>0</v>
      </c>
      <c r="N20" s="299">
        <f>'Formula de apoyo'!O21*'Datos de Proyecto'!J37</f>
        <v>0</v>
      </c>
      <c r="O20" s="299">
        <f>'Formula de apoyo'!M21*'Datos de Proyecto'!J37</f>
        <v>0</v>
      </c>
      <c r="P20" s="299">
        <f>'Formula de apoyo'!L21*'Datos de Proyecto'!J37</f>
        <v>0</v>
      </c>
      <c r="Q20" s="299">
        <f>'Formula de apoyo'!J21*'Datos de Proyecto'!J37</f>
        <v>0</v>
      </c>
      <c r="R20" s="299">
        <f>'Formula de apoyo'!Q21*'Datos de Proyecto'!J37</f>
        <v>0</v>
      </c>
      <c r="S20" s="299">
        <f>'Formula de apoyo'!P21*'Datos de Proyecto'!J37</f>
        <v>0</v>
      </c>
      <c r="T20" s="299">
        <f t="shared" si="2"/>
        <v>0</v>
      </c>
      <c r="U20" s="112" t="str" cm="1">
        <f t="array" ref="U20">IFERROR(_xlfn.IFS('Datos de Proyecto'!$D$32="NOVOTEGRA M2 CLAMP",Q20,'Datos de Proyecto'!$D$32="SET JT3-SB-3-8.0x85/50",Q20),"")</f>
        <v/>
      </c>
      <c r="V20" s="299">
        <f>+'Formula de apoyo'!B21*'Datos de Proyecto'!J37</f>
        <v>0</v>
      </c>
      <c r="W20" s="307">
        <f>+'Formula de apoyo'!A21*'Datos de Proyecto'!J37</f>
        <v>0</v>
      </c>
      <c r="Y20" s="112">
        <f>+'Formula de apoyo'!M45*'Datos de Proyecto'!M37</f>
        <v>0</v>
      </c>
      <c r="Z20" s="112">
        <f>+'Formula de apoyo'!P45*'Datos de Proyecto'!M37</f>
        <v>0</v>
      </c>
      <c r="AA20" s="112">
        <f>'Formula de apoyo'!Q45*'Datos de Proyecto'!M37</f>
        <v>0</v>
      </c>
      <c r="AB20" s="112">
        <f>+'Formula de apoyo'!O45*'Datos de Proyecto'!M37</f>
        <v>0</v>
      </c>
      <c r="AC20" s="112">
        <f>+'Formula de apoyo'!N45*'Datos de Proyecto'!M37</f>
        <v>0</v>
      </c>
      <c r="AD20" s="112">
        <f>+'Formula de apoyo'!L45*'Datos de Proyecto'!M37</f>
        <v>0</v>
      </c>
      <c r="AE20" s="112">
        <f>+'Formula de apoyo'!S45*'Datos de Proyecto'!M37</f>
        <v>0</v>
      </c>
      <c r="AF20" s="112">
        <f>+'Formula de apoyo'!R45*'Datos de Proyecto'!M37</f>
        <v>0</v>
      </c>
      <c r="AG20" s="112">
        <f>+'Formula de apoyo'!T45*'Datos de Proyecto'!M37</f>
        <v>0</v>
      </c>
      <c r="AH20" s="112" t="str" cm="1">
        <f t="array" ref="AH20">IFERROR(_xlfn.IFS('Datos de Proyecto'!$D$32="NOVOTEGRA M2 CLAMP",AD20,'Datos de Proyecto'!$D$32="SET JT3-SB-3-8.0x85/50",AD20),"")</f>
        <v/>
      </c>
      <c r="AI20" s="112">
        <f>+'Formula de apoyo'!B45*'Datos de Proyecto'!M37</f>
        <v>0</v>
      </c>
      <c r="AJ20" s="112">
        <f>+'Formula de apoyo'!A45*'Datos de Proyecto'!M37</f>
        <v>0</v>
      </c>
      <c r="AL20" s="333">
        <f>IF('Calculo de Span'!O52&gt;14,"ERROR",SUM(AM20:AN20))</f>
        <v>0</v>
      </c>
      <c r="AM20" s="112">
        <f>IF('Datos de Proyecto'!P37=0,0,4*'Datos de Proyecto'!P37)</f>
        <v>0</v>
      </c>
      <c r="AN20" s="112">
        <f>IF('Datos de Proyecto'!P37=0,0,(('Datos de Proyecto'!Q37-1)*2)*'Datos de Proyecto'!P37)</f>
        <v>0</v>
      </c>
      <c r="AO20" s="112">
        <f>'Datos de Proyecto'!P37</f>
        <v>0</v>
      </c>
      <c r="AP20" s="334">
        <f t="shared" si="3"/>
        <v>0</v>
      </c>
    </row>
    <row r="21" spans="2:42">
      <c r="B21" s="335">
        <v>18</v>
      </c>
      <c r="C21" s="336">
        <f>'Formula de apoyo'!J71*'Datos de Proyecto'!G38</f>
        <v>0</v>
      </c>
      <c r="D21" s="336">
        <f>'Formula de apoyo'!K71*'Datos de Proyecto'!G38</f>
        <v>0</v>
      </c>
      <c r="E21" s="336">
        <f>'Formula de apoyo'!L71*'Datos de Proyecto'!G38</f>
        <v>0</v>
      </c>
      <c r="F21" s="300">
        <f>IF('Datos de Proyecto'!$D$32="S-5! PROTEA II","",'Formula de apoyo'!I71*'Datos de Proyecto'!G38)</f>
        <v>0</v>
      </c>
      <c r="G21" s="336">
        <f>'Formula de apoyo'!M71*'Datos de Proyecto'!G38</f>
        <v>0</v>
      </c>
      <c r="H21" s="336">
        <f>'Formula de apoyo'!N71*'Datos de Proyecto'!G38</f>
        <v>0</v>
      </c>
      <c r="I21" s="336">
        <f t="shared" si="1"/>
        <v>0</v>
      </c>
      <c r="J21" s="328">
        <f>IF('Datos de Proyecto'!$D$32&lt;&gt;0,IF('Datos de Proyecto'!$D$32="S-5! PROTEA II",'Formula de apoyo'!I71*'Datos de Proyecto'!G38,'Cuenta total'!F21),0)</f>
        <v>0</v>
      </c>
      <c r="L21" s="335">
        <f>'Formula de apoyo'!K22*'Datos de Proyecto'!J38</f>
        <v>0</v>
      </c>
      <c r="M21" s="336">
        <f>'Formula de apoyo'!N22*'Datos de Proyecto'!J38</f>
        <v>0</v>
      </c>
      <c r="N21" s="336">
        <f>'Formula de apoyo'!O22*'Datos de Proyecto'!J38</f>
        <v>0</v>
      </c>
      <c r="O21" s="336">
        <f>'Formula de apoyo'!M22*'Datos de Proyecto'!J38</f>
        <v>0</v>
      </c>
      <c r="P21" s="336">
        <f>'Formula de apoyo'!L22*'Datos de Proyecto'!J38</f>
        <v>0</v>
      </c>
      <c r="Q21" s="336">
        <f>'Formula de apoyo'!J22*'Datos de Proyecto'!J38</f>
        <v>0</v>
      </c>
      <c r="R21" s="336">
        <f>'Formula de apoyo'!Q22*'Datos de Proyecto'!J38</f>
        <v>0</v>
      </c>
      <c r="S21" s="336">
        <f>'Formula de apoyo'!P22*'Datos de Proyecto'!J38</f>
        <v>0</v>
      </c>
      <c r="T21" s="336">
        <f t="shared" si="2"/>
        <v>0</v>
      </c>
      <c r="U21" s="338" t="str" cm="1">
        <f t="array" ref="U21">IFERROR(_xlfn.IFS('Datos de Proyecto'!$D$32="NOVOTEGRA M2 CLAMP",Q21,'Datos de Proyecto'!$D$32="SET JT3-SB-3-8.0x85/50",Q21),"")</f>
        <v/>
      </c>
      <c r="V21" s="336">
        <f>+'Formula de apoyo'!B22*'Datos de Proyecto'!J38</f>
        <v>0</v>
      </c>
      <c r="W21" s="337">
        <f>+'Formula de apoyo'!A22*'Datos de Proyecto'!J38</f>
        <v>0</v>
      </c>
      <c r="Y21" s="338">
        <f>+'Formula de apoyo'!M46*'Datos de Proyecto'!M38</f>
        <v>0</v>
      </c>
      <c r="Z21" s="338">
        <f>+'Formula de apoyo'!P46*'Datos de Proyecto'!M38</f>
        <v>0</v>
      </c>
      <c r="AA21" s="338">
        <f>'Formula de apoyo'!Q46*'Datos de Proyecto'!M38</f>
        <v>0</v>
      </c>
      <c r="AB21" s="338">
        <f>+'Formula de apoyo'!O46*'Datos de Proyecto'!M38</f>
        <v>0</v>
      </c>
      <c r="AC21" s="338">
        <f>+'Formula de apoyo'!N46*'Datos de Proyecto'!M38</f>
        <v>0</v>
      </c>
      <c r="AD21" s="338">
        <f>+'Formula de apoyo'!L46*'Datos de Proyecto'!M38</f>
        <v>0</v>
      </c>
      <c r="AE21" s="338">
        <f>+'Formula de apoyo'!S46*'Datos de Proyecto'!M38</f>
        <v>0</v>
      </c>
      <c r="AF21" s="338">
        <f>+'Formula de apoyo'!R46*'Datos de Proyecto'!M38</f>
        <v>0</v>
      </c>
      <c r="AG21" s="338">
        <f>+'Formula de apoyo'!T46*'Datos de Proyecto'!M38</f>
        <v>0</v>
      </c>
      <c r="AH21" s="338" t="str" cm="1">
        <f t="array" ref="AH21">IFERROR(_xlfn.IFS('Datos de Proyecto'!$D$32="NOVOTEGRA M2 CLAMP",AD21,'Datos de Proyecto'!$D$32="SET JT3-SB-3-8.0x85/50",AD21),"")</f>
        <v/>
      </c>
      <c r="AI21" s="338">
        <f>+'Formula de apoyo'!B46*'Datos de Proyecto'!M38</f>
        <v>0</v>
      </c>
      <c r="AJ21" s="338">
        <f>+'Formula de apoyo'!A46*'Datos de Proyecto'!M38</f>
        <v>0</v>
      </c>
      <c r="AL21" s="339">
        <f>IF('Calculo de Span'!O53&gt;14,"ERROR",SUM(AM21:AN21))</f>
        <v>0</v>
      </c>
      <c r="AM21" s="338">
        <f>IF('Datos de Proyecto'!P38=0,0,4*'Datos de Proyecto'!P38)</f>
        <v>0</v>
      </c>
      <c r="AN21" s="338">
        <f>IF('Datos de Proyecto'!P38=0,0,(('Datos de Proyecto'!Q38-1)*2)*'Datos de Proyecto'!P38)</f>
        <v>0</v>
      </c>
      <c r="AO21" s="338">
        <f>'Datos de Proyecto'!P38</f>
        <v>0</v>
      </c>
      <c r="AP21" s="340">
        <f t="shared" si="3"/>
        <v>0</v>
      </c>
    </row>
    <row r="22" spans="2:42">
      <c r="B22" s="332">
        <v>19</v>
      </c>
      <c r="C22" s="300">
        <f>'Formula de apoyo'!J72*'Datos de Proyecto'!G39</f>
        <v>0</v>
      </c>
      <c r="D22" s="300">
        <f>'Formula de apoyo'!K72*'Datos de Proyecto'!G39</f>
        <v>0</v>
      </c>
      <c r="E22" s="300">
        <f>'Formula de apoyo'!L72*'Datos de Proyecto'!G39</f>
        <v>0</v>
      </c>
      <c r="F22" s="300">
        <f>IF('Datos de Proyecto'!$D$32="S-5! PROTEA II","",'Formula de apoyo'!I72*'Datos de Proyecto'!G39)</f>
        <v>0</v>
      </c>
      <c r="G22" s="300">
        <f>'Formula de apoyo'!M72*'Datos de Proyecto'!G39</f>
        <v>0</v>
      </c>
      <c r="H22" s="300">
        <f>'Formula de apoyo'!N72*'Datos de Proyecto'!G39</f>
        <v>0</v>
      </c>
      <c r="I22" s="300">
        <f t="shared" si="1"/>
        <v>0</v>
      </c>
      <c r="J22" s="328">
        <f>IF('Datos de Proyecto'!$D$32&lt;&gt;0,IF('Datos de Proyecto'!$D$32="S-5! PROTEA II",'Formula de apoyo'!I72*'Datos de Proyecto'!G39,'Cuenta total'!F22),0)</f>
        <v>0</v>
      </c>
      <c r="L22" s="303">
        <f>'Formula de apoyo'!K23*'Datos de Proyecto'!J39</f>
        <v>0</v>
      </c>
      <c r="M22" s="299">
        <f>'Formula de apoyo'!N23*'Datos de Proyecto'!J39</f>
        <v>0</v>
      </c>
      <c r="N22" s="299">
        <f>'Formula de apoyo'!O23*'Datos de Proyecto'!J39</f>
        <v>0</v>
      </c>
      <c r="O22" s="299">
        <f>'Formula de apoyo'!M23*'Datos de Proyecto'!J39</f>
        <v>0</v>
      </c>
      <c r="P22" s="299">
        <f>'Formula de apoyo'!L23*'Datos de Proyecto'!J39</f>
        <v>0</v>
      </c>
      <c r="Q22" s="299">
        <f>'Formula de apoyo'!J23*'Datos de Proyecto'!J39</f>
        <v>0</v>
      </c>
      <c r="R22" s="299">
        <f>'Formula de apoyo'!Q23*'Datos de Proyecto'!J39</f>
        <v>0</v>
      </c>
      <c r="S22" s="299">
        <f>'Formula de apoyo'!P23*'Datos de Proyecto'!J39</f>
        <v>0</v>
      </c>
      <c r="T22" s="299">
        <f t="shared" si="2"/>
        <v>0</v>
      </c>
      <c r="U22" s="112" t="str" cm="1">
        <f t="array" ref="U22">IFERROR(_xlfn.IFS('Datos de Proyecto'!$D$32="NOVOTEGRA M2 CLAMP",Q22,'Datos de Proyecto'!$D$32="SET JT3-SB-3-8.0x85/50",Q22),"")</f>
        <v/>
      </c>
      <c r="V22" s="299">
        <f>+'Formula de apoyo'!B23*'Datos de Proyecto'!J39</f>
        <v>0</v>
      </c>
      <c r="W22" s="307">
        <f>+'Formula de apoyo'!A23*'Datos de Proyecto'!J39</f>
        <v>0</v>
      </c>
      <c r="Y22" s="112">
        <f>+'Formula de apoyo'!M47*'Datos de Proyecto'!M39</f>
        <v>0</v>
      </c>
      <c r="Z22" s="112">
        <f>+'Formula de apoyo'!P47*'Datos de Proyecto'!M39</f>
        <v>0</v>
      </c>
      <c r="AA22" s="112">
        <f>'Formula de apoyo'!Q47*'Datos de Proyecto'!M39</f>
        <v>0</v>
      </c>
      <c r="AB22" s="112">
        <f>+'Formula de apoyo'!O47*'Datos de Proyecto'!M39</f>
        <v>0</v>
      </c>
      <c r="AC22" s="112">
        <f>+'Formula de apoyo'!N47*'Datos de Proyecto'!M39</f>
        <v>0</v>
      </c>
      <c r="AD22" s="112">
        <f>+'Formula de apoyo'!L47*'Datos de Proyecto'!M39</f>
        <v>0</v>
      </c>
      <c r="AE22" s="112">
        <f>+'Formula de apoyo'!S47*'Datos de Proyecto'!M39</f>
        <v>0</v>
      </c>
      <c r="AF22" s="112">
        <f>+'Formula de apoyo'!R47*'Datos de Proyecto'!M39</f>
        <v>0</v>
      </c>
      <c r="AG22" s="112">
        <f>+'Formula de apoyo'!T47*'Datos de Proyecto'!M39</f>
        <v>0</v>
      </c>
      <c r="AH22" s="112" t="str" cm="1">
        <f t="array" ref="AH22">IFERROR(_xlfn.IFS('Datos de Proyecto'!$D$32="NOVOTEGRA M2 CLAMP",AD22,'Datos de Proyecto'!$D$32="SET JT3-SB-3-8.0x85/50",AD22),"")</f>
        <v/>
      </c>
      <c r="AI22" s="112">
        <f>+'Formula de apoyo'!B47*'Datos de Proyecto'!M39</f>
        <v>0</v>
      </c>
      <c r="AJ22" s="112">
        <f>+'Formula de apoyo'!A47*'Datos de Proyecto'!M39</f>
        <v>0</v>
      </c>
      <c r="AL22" s="333">
        <f>IF('Calculo de Span'!O54&gt;14,"ERROR",SUM(AM22:AN22))</f>
        <v>0</v>
      </c>
      <c r="AM22" s="112">
        <f>IF('Datos de Proyecto'!P39=0,0,4*'Datos de Proyecto'!P39)</f>
        <v>0</v>
      </c>
      <c r="AN22" s="112">
        <f>IF('Datos de Proyecto'!P39=0,0,(('Datos de Proyecto'!Q39-1)*2)*'Datos de Proyecto'!P39)</f>
        <v>0</v>
      </c>
      <c r="AO22" s="112">
        <f>'Datos de Proyecto'!P39</f>
        <v>0</v>
      </c>
      <c r="AP22" s="334">
        <f t="shared" si="3"/>
        <v>0</v>
      </c>
    </row>
    <row r="23" spans="2:42">
      <c r="B23" s="343">
        <v>20</v>
      </c>
      <c r="C23" s="344">
        <f>'Formula de apoyo'!J73*'Datos de Proyecto'!G40</f>
        <v>0</v>
      </c>
      <c r="D23" s="344">
        <f>'Formula de apoyo'!K73*'Datos de Proyecto'!G40</f>
        <v>0</v>
      </c>
      <c r="E23" s="344">
        <f>'Formula de apoyo'!L73*'Datos de Proyecto'!G40</f>
        <v>0</v>
      </c>
      <c r="F23" s="300">
        <f>IF('Datos de Proyecto'!$D$32="S-5! PROTEA II","",'Formula de apoyo'!I73*'Datos de Proyecto'!G40)</f>
        <v>0</v>
      </c>
      <c r="G23" s="344">
        <f>'Formula de apoyo'!M73*'Datos de Proyecto'!G40</f>
        <v>0</v>
      </c>
      <c r="H23" s="344">
        <f>'Formula de apoyo'!N73*'Datos de Proyecto'!G40</f>
        <v>0</v>
      </c>
      <c r="I23" s="344">
        <f t="shared" si="1"/>
        <v>0</v>
      </c>
      <c r="J23" s="328">
        <f>IF('Datos de Proyecto'!$D$32&lt;&gt;0,IF('Datos de Proyecto'!$D$32="S-5! PROTEA II",'Formula de apoyo'!I73*'Datos de Proyecto'!G40,'Cuenta total'!F23),0)</f>
        <v>0</v>
      </c>
      <c r="L23" s="343">
        <f>'Formula de apoyo'!K24*'Datos de Proyecto'!J40</f>
        <v>0</v>
      </c>
      <c r="M23" s="344">
        <f>'Formula de apoyo'!N24*'Datos de Proyecto'!J40</f>
        <v>0</v>
      </c>
      <c r="N23" s="344">
        <f>'Formula de apoyo'!O24*'Datos de Proyecto'!J40</f>
        <v>0</v>
      </c>
      <c r="O23" s="344">
        <f>'Formula de apoyo'!M24*'Datos de Proyecto'!J40</f>
        <v>0</v>
      </c>
      <c r="P23" s="344">
        <f>'Formula de apoyo'!L24*'Datos de Proyecto'!J40</f>
        <v>0</v>
      </c>
      <c r="Q23" s="344">
        <f>'Formula de apoyo'!J24*'Datos de Proyecto'!J40</f>
        <v>0</v>
      </c>
      <c r="R23" s="344">
        <f>'Formula de apoyo'!Q24*'Datos de Proyecto'!J40</f>
        <v>0</v>
      </c>
      <c r="S23" s="344">
        <f>'Formula de apoyo'!P24*'Datos de Proyecto'!J40</f>
        <v>0</v>
      </c>
      <c r="T23" s="344">
        <f t="shared" si="2"/>
        <v>0</v>
      </c>
      <c r="U23" s="346" t="str" cm="1">
        <f t="array" ref="U23">IFERROR(_xlfn.IFS('Datos de Proyecto'!$D$32="NOVOTEGRA M2 CLAMP",Q23,'Datos de Proyecto'!$D$32="SET JT3-SB-3-8.0x85/50",Q23),"")</f>
        <v/>
      </c>
      <c r="V23" s="344">
        <f>+'Formula de apoyo'!B24*'Datos de Proyecto'!J40</f>
        <v>0</v>
      </c>
      <c r="W23" s="345">
        <f>+'Formula de apoyo'!A24*'Datos de Proyecto'!J40</f>
        <v>0</v>
      </c>
      <c r="Y23" s="346">
        <f>+'Formula de apoyo'!M48*'Datos de Proyecto'!M40</f>
        <v>0</v>
      </c>
      <c r="Z23" s="346">
        <f>+'Formula de apoyo'!P48*'Datos de Proyecto'!M40</f>
        <v>0</v>
      </c>
      <c r="AA23" s="346">
        <f>'Formula de apoyo'!Q48*'Datos de Proyecto'!M40</f>
        <v>0</v>
      </c>
      <c r="AB23" s="346">
        <f>+'Formula de apoyo'!O48*'Datos de Proyecto'!M40</f>
        <v>0</v>
      </c>
      <c r="AC23" s="346">
        <f>+'Formula de apoyo'!N48*'Datos de Proyecto'!M40</f>
        <v>0</v>
      </c>
      <c r="AD23" s="346">
        <f>+'Formula de apoyo'!L48*'Datos de Proyecto'!M40</f>
        <v>0</v>
      </c>
      <c r="AE23" s="346">
        <f>+'Formula de apoyo'!S48*'Datos de Proyecto'!M40</f>
        <v>0</v>
      </c>
      <c r="AF23" s="346">
        <f>+'Formula de apoyo'!R48*'Datos de Proyecto'!M40</f>
        <v>0</v>
      </c>
      <c r="AG23" s="346">
        <f>+'Formula de apoyo'!T48*'Datos de Proyecto'!M40</f>
        <v>0</v>
      </c>
      <c r="AH23" s="346" t="str" cm="1">
        <f t="array" ref="AH23">IFERROR(_xlfn.IFS('Datos de Proyecto'!$D$32="NOVOTEGRA M2 CLAMP",AD23,'Datos de Proyecto'!$D$32="SET JT3-SB-3-8.0x85/50",AD23),"")</f>
        <v/>
      </c>
      <c r="AI23" s="346">
        <f>+'Formula de apoyo'!B48*'Datos de Proyecto'!M40</f>
        <v>0</v>
      </c>
      <c r="AJ23" s="346">
        <f>+'Formula de apoyo'!A48*'Datos de Proyecto'!M40</f>
        <v>0</v>
      </c>
      <c r="AL23" s="347">
        <f>IF('Calculo de Span'!O55&gt;14,"ERROR",SUM(AM23:AN23))</f>
        <v>0</v>
      </c>
      <c r="AM23" s="346">
        <f>IF('Datos de Proyecto'!P40=0,0,4*'Datos de Proyecto'!P40)</f>
        <v>0</v>
      </c>
      <c r="AN23" s="346">
        <f>IF('Datos de Proyecto'!P40=0,0,(('Datos de Proyecto'!Q40-1)*2)*'Datos de Proyecto'!P40)</f>
        <v>0</v>
      </c>
      <c r="AO23" s="346">
        <f>'Datos de Proyecto'!P40</f>
        <v>0</v>
      </c>
      <c r="AP23" s="348">
        <f t="shared" si="3"/>
        <v>0</v>
      </c>
    </row>
    <row r="24" spans="2:42">
      <c r="V24" s="112">
        <f>+SUM(V4:V23)</f>
        <v>0</v>
      </c>
      <c r="W24" s="112">
        <f>+SUM(W4:W23)</f>
        <v>0</v>
      </c>
      <c r="Y24" s="112">
        <f t="shared" ref="Y24:AH24" si="4">+SUM(Y4:Y23)</f>
        <v>0</v>
      </c>
      <c r="Z24" s="112">
        <f t="shared" si="4"/>
        <v>0</v>
      </c>
      <c r="AA24" s="112">
        <f t="shared" si="4"/>
        <v>0</v>
      </c>
      <c r="AB24" s="112">
        <f t="shared" si="4"/>
        <v>0</v>
      </c>
      <c r="AC24" s="112">
        <f t="shared" si="4"/>
        <v>0</v>
      </c>
      <c r="AD24" s="112">
        <f t="shared" si="4"/>
        <v>0</v>
      </c>
      <c r="AE24" s="112">
        <f t="shared" si="4"/>
        <v>0</v>
      </c>
      <c r="AF24" s="112">
        <f t="shared" si="4"/>
        <v>0</v>
      </c>
      <c r="AG24" s="112">
        <f t="shared" si="4"/>
        <v>0</v>
      </c>
      <c r="AH24" s="112">
        <f t="shared" si="4"/>
        <v>0</v>
      </c>
      <c r="AI24" s="112">
        <f>+SUM(AI4:AI23)</f>
        <v>0</v>
      </c>
      <c r="AJ24" s="112">
        <f>+SUM(AJ4:AJ23)</f>
        <v>0</v>
      </c>
    </row>
    <row r="26" spans="2:42" ht="16">
      <c r="B26" s="350"/>
      <c r="C26" s="351"/>
      <c r="D26" s="605"/>
      <c r="E26" s="605"/>
    </row>
    <row r="27" spans="2:42">
      <c r="B27" s="300"/>
      <c r="D27" s="595"/>
      <c r="E27" s="595"/>
    </row>
    <row r="28" spans="2:42">
      <c r="B28" s="300"/>
      <c r="D28" s="595"/>
      <c r="E28" s="595"/>
    </row>
    <row r="29" spans="2:42">
      <c r="B29" s="300"/>
      <c r="D29" s="595"/>
      <c r="E29" s="595"/>
    </row>
    <row r="30" spans="2:42">
      <c r="B30" s="300"/>
      <c r="D30" s="595"/>
      <c r="E30" s="595"/>
    </row>
    <row r="31" spans="2:42">
      <c r="B31" s="300"/>
      <c r="D31" s="595"/>
      <c r="E31" s="595"/>
    </row>
    <row r="32" spans="2:42">
      <c r="B32" s="300"/>
      <c r="D32" s="595"/>
      <c r="E32" s="595"/>
    </row>
    <row r="33" spans="2:28">
      <c r="B33" s="300"/>
      <c r="D33" s="595"/>
      <c r="E33" s="595"/>
      <c r="AB33" s="112"/>
    </row>
    <row r="34" spans="2:28">
      <c r="B34" s="300"/>
      <c r="D34" s="595"/>
      <c r="E34" s="595"/>
      <c r="AB34" s="112"/>
    </row>
    <row r="35" spans="2:28">
      <c r="B35" s="300"/>
      <c r="D35" s="595"/>
      <c r="E35" s="595"/>
      <c r="O35" s="352"/>
      <c r="X35" s="352"/>
      <c r="Y35" s="352"/>
      <c r="Z35" s="352"/>
      <c r="AB35" s="112"/>
    </row>
    <row r="36" spans="2:28">
      <c r="B36" s="300"/>
      <c r="D36" s="595"/>
      <c r="E36" s="595"/>
      <c r="O36" s="352"/>
      <c r="X36" s="352"/>
      <c r="Y36" s="352"/>
      <c r="Z36" s="352"/>
      <c r="AB36" s="112"/>
    </row>
    <row r="37" spans="2:28">
      <c r="B37" s="300"/>
      <c r="D37" s="595"/>
      <c r="E37" s="595"/>
      <c r="O37" s="352"/>
      <c r="X37" s="352"/>
      <c r="Y37" s="352"/>
      <c r="Z37" s="352"/>
      <c r="AB37" s="112"/>
    </row>
    <row r="38" spans="2:28">
      <c r="B38" s="300"/>
      <c r="D38" s="595"/>
      <c r="E38" s="595"/>
      <c r="O38" s="352"/>
      <c r="X38" s="352"/>
      <c r="Y38" s="352"/>
      <c r="Z38" s="352"/>
      <c r="AB38" s="112"/>
    </row>
    <row r="39" spans="2:28">
      <c r="B39" s="300"/>
      <c r="D39" s="595"/>
      <c r="E39" s="595"/>
      <c r="O39" s="352"/>
      <c r="X39" s="352"/>
      <c r="Y39" s="352"/>
      <c r="Z39" s="352"/>
      <c r="AB39" s="112"/>
    </row>
    <row r="40" spans="2:28">
      <c r="B40" s="300"/>
      <c r="D40" s="595"/>
      <c r="E40" s="595"/>
      <c r="O40" s="352"/>
      <c r="X40" s="352"/>
      <c r="Y40" s="352"/>
      <c r="Z40" s="352"/>
      <c r="AB40" s="112"/>
    </row>
    <row r="41" spans="2:28">
      <c r="B41" s="300"/>
      <c r="D41" s="595"/>
      <c r="E41" s="595"/>
      <c r="O41" s="352"/>
      <c r="X41" s="352"/>
      <c r="Y41" s="352"/>
      <c r="Z41" s="352"/>
      <c r="AB41" s="112"/>
    </row>
    <row r="42" spans="2:28">
      <c r="B42" s="300"/>
      <c r="D42" s="595"/>
      <c r="E42" s="595"/>
      <c r="O42" s="352"/>
      <c r="X42" s="352"/>
      <c r="Y42" s="352"/>
      <c r="Z42" s="352"/>
      <c r="AB42" s="112"/>
    </row>
    <row r="43" spans="2:28">
      <c r="B43" s="300"/>
      <c r="D43" s="595"/>
      <c r="E43" s="595"/>
      <c r="O43" s="352"/>
      <c r="X43" s="352"/>
      <c r="Y43" s="352"/>
      <c r="Z43" s="352"/>
      <c r="AB43" s="112"/>
    </row>
    <row r="44" spans="2:28">
      <c r="B44" s="300"/>
      <c r="D44" s="595"/>
      <c r="E44" s="595"/>
      <c r="O44" s="352"/>
      <c r="X44" s="352"/>
      <c r="Y44" s="352"/>
      <c r="Z44" s="352"/>
      <c r="AB44" s="112"/>
    </row>
    <row r="45" spans="2:28">
      <c r="B45" s="300"/>
      <c r="D45" s="595"/>
      <c r="E45" s="595"/>
      <c r="O45" s="352"/>
      <c r="X45" s="352"/>
      <c r="Y45" s="352"/>
      <c r="Z45" s="352"/>
      <c r="AB45" s="112"/>
    </row>
    <row r="46" spans="2:28">
      <c r="B46" s="300"/>
      <c r="D46" s="595"/>
      <c r="E46" s="595"/>
      <c r="O46" s="352"/>
      <c r="X46" s="352"/>
      <c r="Y46" s="352"/>
      <c r="Z46" s="352"/>
      <c r="AB46" s="112"/>
    </row>
    <row r="47" spans="2:28">
      <c r="O47" s="352"/>
      <c r="X47" s="352"/>
      <c r="Y47" s="352"/>
      <c r="Z47" s="352"/>
      <c r="AB47" s="112"/>
    </row>
    <row r="48" spans="2:28">
      <c r="O48" s="352"/>
      <c r="X48" s="352"/>
      <c r="Y48" s="352"/>
      <c r="Z48" s="352"/>
      <c r="AB48" s="112"/>
    </row>
    <row r="49" spans="1:28">
      <c r="O49" s="352"/>
      <c r="X49" s="352"/>
      <c r="Y49" s="352"/>
      <c r="Z49" s="352"/>
      <c r="AB49" s="112"/>
    </row>
    <row r="50" spans="1:28">
      <c r="O50" s="352"/>
      <c r="X50" s="352"/>
      <c r="Y50" s="352"/>
      <c r="Z50" s="352"/>
      <c r="AB50" s="112"/>
    </row>
    <row r="51" spans="1:28">
      <c r="O51" s="352"/>
      <c r="X51" s="352"/>
      <c r="Y51" s="352"/>
      <c r="Z51" s="352"/>
      <c r="AB51" s="112"/>
    </row>
    <row r="52" spans="1:28">
      <c r="O52" s="352"/>
      <c r="X52" s="352"/>
      <c r="Y52" s="352"/>
      <c r="Z52" s="352"/>
      <c r="AB52" s="112"/>
    </row>
    <row r="53" spans="1:28">
      <c r="O53" s="352"/>
      <c r="X53" s="352"/>
      <c r="Y53" s="352"/>
      <c r="Z53" s="352"/>
      <c r="AB53" s="112"/>
    </row>
    <row r="54" spans="1:28">
      <c r="O54" s="352"/>
      <c r="X54" s="352"/>
      <c r="Y54" s="352"/>
      <c r="Z54" s="352"/>
      <c r="AB54" s="112"/>
    </row>
    <row r="55" spans="1:28">
      <c r="X55" s="349" cm="1">
        <f t="array" ref="X55">_xlfn.IFS('Datos de Proyecto'!$M$19="Vertical",((('Datos de Proyecto'!$D$34*PI()/180)*(('Datos de Proyecto'!$D$25*2)/3))),'Datos de Proyecto'!$M$19="Horizontal",((('Datos de Proyecto'!$D$34*PI()/180)*(('Datos de Proyecto'!$D$26*2)/3))/4.2))*'Datos de Proyecto'!M21</f>
        <v>0</v>
      </c>
    </row>
    <row r="56" spans="1:28">
      <c r="X56" s="349">
        <f>X55*2</f>
        <v>0</v>
      </c>
    </row>
    <row r="57" spans="1:28">
      <c r="A57" s="595"/>
      <c r="B57" s="595"/>
      <c r="X57" s="349">
        <f>X55*3</f>
        <v>0</v>
      </c>
    </row>
  </sheetData>
  <sheetProtection selectLockedCells="1" selectUnlockedCells="1"/>
  <mergeCells count="26">
    <mergeCell ref="Y2:AJ2"/>
    <mergeCell ref="AL2:AP2"/>
    <mergeCell ref="A57:B57"/>
    <mergeCell ref="B2:J2"/>
    <mergeCell ref="D34:E34"/>
    <mergeCell ref="D33:E33"/>
    <mergeCell ref="D32:E32"/>
    <mergeCell ref="D31:E31"/>
    <mergeCell ref="D30:E30"/>
    <mergeCell ref="D29:E29"/>
    <mergeCell ref="D28:E28"/>
    <mergeCell ref="D27:E27"/>
    <mergeCell ref="D26:E26"/>
    <mergeCell ref="D46:E46"/>
    <mergeCell ref="D45:E45"/>
    <mergeCell ref="D44:E44"/>
    <mergeCell ref="D43:E43"/>
    <mergeCell ref="D42:E42"/>
    <mergeCell ref="D41:E41"/>
    <mergeCell ref="D40:E40"/>
    <mergeCell ref="L2:W2"/>
    <mergeCell ref="D39:E39"/>
    <mergeCell ref="D38:E38"/>
    <mergeCell ref="D37:E37"/>
    <mergeCell ref="D36:E36"/>
    <mergeCell ref="D35:E35"/>
  </mergeCells>
  <conditionalFormatting sqref="C26:D26">
    <cfRule type="expression" dxfId="0" priority="1">
      <formula>$T$13="TPO"</formula>
    </cfRule>
  </conditionalFormatting>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FB9F5-BE32-405F-8044-6F308AB59AF8}">
  <sheetPr codeName="Hoja11"/>
  <dimension ref="A2:AA78"/>
  <sheetViews>
    <sheetView showZeros="0" topLeftCell="G44" zoomScale="85" zoomScaleNormal="85" workbookViewId="0">
      <selection activeCell="L59" sqref="L59"/>
    </sheetView>
  </sheetViews>
  <sheetFormatPr defaultColWidth="11.453125" defaultRowHeight="14.5"/>
  <cols>
    <col min="1" max="1" width="34" style="299" bestFit="1" customWidth="1"/>
    <col min="2" max="2" width="41.81640625" style="299" bestFit="1" customWidth="1"/>
    <col min="3" max="5" width="20.81640625" style="299" bestFit="1" customWidth="1"/>
    <col min="6" max="9" width="15.453125" style="299" bestFit="1" customWidth="1"/>
    <col min="10" max="10" width="10.1796875" style="299" bestFit="1" customWidth="1"/>
    <col min="11" max="12" width="12.81640625" style="299" bestFit="1" customWidth="1"/>
    <col min="13" max="13" width="15.453125" style="299" bestFit="1" customWidth="1"/>
    <col min="14" max="15" width="12.81640625" style="299" bestFit="1" customWidth="1"/>
    <col min="16" max="16" width="15.453125" style="299" bestFit="1" customWidth="1"/>
    <col min="17" max="17" width="14.1796875" style="299" bestFit="1" customWidth="1"/>
    <col min="18" max="18" width="12.81640625" style="299" bestFit="1" customWidth="1"/>
    <col min="19" max="19" width="14.1796875" style="299" bestFit="1" customWidth="1"/>
    <col min="20" max="20" width="10.1796875" style="299" bestFit="1" customWidth="1"/>
    <col min="21" max="21" width="15.453125" style="299" bestFit="1" customWidth="1"/>
    <col min="22" max="22" width="17.81640625" style="299" customWidth="1"/>
    <col min="23" max="23" width="10.1796875" style="299" customWidth="1"/>
    <col min="24" max="24" width="17.1796875" style="299" customWidth="1"/>
    <col min="25" max="25" width="11.453125" style="299"/>
    <col min="26" max="26" width="12.81640625" style="299" customWidth="1"/>
    <col min="27" max="27" width="17.81640625" style="299" customWidth="1"/>
    <col min="28" max="16384" width="11.453125" style="299"/>
  </cols>
  <sheetData>
    <row r="2" spans="1:27" s="304" customFormat="1">
      <c r="A2" s="304" t="s">
        <v>519</v>
      </c>
      <c r="B2" s="304" t="s">
        <v>519</v>
      </c>
      <c r="C2" s="304" t="s">
        <v>519</v>
      </c>
      <c r="D2" s="304" t="s">
        <v>519</v>
      </c>
      <c r="E2" s="304" t="s">
        <v>519</v>
      </c>
      <c r="F2" s="304" t="s">
        <v>519</v>
      </c>
      <c r="G2" s="304" t="s">
        <v>519</v>
      </c>
      <c r="H2" s="304" t="s">
        <v>519</v>
      </c>
      <c r="I2" s="304" t="s">
        <v>519</v>
      </c>
      <c r="J2" s="304" t="s">
        <v>519</v>
      </c>
      <c r="K2" s="304" t="s">
        <v>519</v>
      </c>
      <c r="L2" s="304" t="s">
        <v>519</v>
      </c>
      <c r="M2" s="304" t="s">
        <v>519</v>
      </c>
      <c r="N2" s="304" t="s">
        <v>519</v>
      </c>
      <c r="O2" s="304" t="s">
        <v>519</v>
      </c>
      <c r="P2" s="304" t="s">
        <v>519</v>
      </c>
      <c r="Q2" s="304" t="s">
        <v>519</v>
      </c>
      <c r="R2" s="304" t="s">
        <v>519</v>
      </c>
    </row>
    <row r="3" spans="1:27" ht="21.5">
      <c r="A3" s="606" t="s">
        <v>520</v>
      </c>
      <c r="B3" s="606"/>
      <c r="C3" s="606"/>
      <c r="D3" s="606"/>
      <c r="E3" s="606"/>
      <c r="F3" s="606"/>
      <c r="G3" s="606"/>
      <c r="H3" s="606"/>
      <c r="I3" s="606"/>
      <c r="J3" s="606"/>
      <c r="K3" s="606"/>
      <c r="L3" s="606"/>
      <c r="M3" s="606"/>
      <c r="N3" s="606"/>
      <c r="O3" s="606"/>
      <c r="P3" s="606"/>
      <c r="Q3" s="606"/>
      <c r="R3" s="606"/>
      <c r="S3" s="370"/>
      <c r="T3" s="370"/>
      <c r="U3" s="370"/>
    </row>
    <row r="4" spans="1:27" ht="29.15" customHeight="1">
      <c r="A4" s="269" t="s">
        <v>521</v>
      </c>
      <c r="B4" s="269" t="s">
        <v>522</v>
      </c>
      <c r="C4" s="316" t="s">
        <v>512</v>
      </c>
      <c r="D4" s="269" t="s">
        <v>523</v>
      </c>
      <c r="E4" s="316" t="s">
        <v>524</v>
      </c>
      <c r="F4" s="316" t="s">
        <v>525</v>
      </c>
      <c r="G4" s="316" t="s">
        <v>526</v>
      </c>
      <c r="H4" s="316" t="s">
        <v>527</v>
      </c>
      <c r="I4" s="316" t="s">
        <v>528</v>
      </c>
      <c r="J4" s="316" t="s">
        <v>529</v>
      </c>
      <c r="K4" s="316" t="s">
        <v>530</v>
      </c>
      <c r="L4" s="316" t="s">
        <v>511</v>
      </c>
      <c r="M4" s="316" t="s">
        <v>510</v>
      </c>
      <c r="N4" s="316" t="s">
        <v>531</v>
      </c>
      <c r="O4" s="316" t="s">
        <v>516</v>
      </c>
      <c r="P4" s="316" t="s">
        <v>175</v>
      </c>
      <c r="Q4" s="316" t="s">
        <v>532</v>
      </c>
      <c r="R4" s="316" t="s">
        <v>508</v>
      </c>
      <c r="Y4" s="610" t="s">
        <v>533</v>
      </c>
      <c r="Z4" s="611"/>
      <c r="AA4" s="305" t="s">
        <v>534</v>
      </c>
    </row>
    <row r="5" spans="1:27">
      <c r="A5" s="301">
        <f>IF('Datos de Proyecto'!$D$33&gt;0,IF(I5=2,2,ROUNDUP(I5/2,0)),0)</f>
        <v>0</v>
      </c>
      <c r="B5" s="301">
        <f>IF('Datos de Proyecto'!$D$33&gt;0,IF(I5=0,0,IF(I5&lt;=2,1,2)),0)</f>
        <v>0</v>
      </c>
      <c r="C5" s="309">
        <f>IF('Datos de Proyecto'!K21=0,0,IF('Datos de Proyecto'!$D$33&gt;0,+SQRT(('Calculo de Span'!I8-0.05)^2+('Sistema Una fila'!$E$31-0.2)^2)*0.95,0))</f>
        <v>0</v>
      </c>
      <c r="D5" s="309">
        <f>IF('Datos de Proyecto'!K21=0,0,IF('Datos de Proyecto'!$D$33&gt;0,+SQRT(('Calculo de Span'!I8-0.05)^2+('Sistema Una fila'!$E$32-0.15)^2)*0.97,0))</f>
        <v>0</v>
      </c>
      <c r="E5" s="309">
        <f>IF('Datos de Proyecto'!K21=0,0,+IF('Datos de Proyecto'!$D$33&gt;0,'Sistema Una fila'!$E$35,0))</f>
        <v>0</v>
      </c>
      <c r="F5" s="309">
        <f>IF('Datos de Proyecto'!K21=0,0,IF('Datos de Proyecto'!$J$19="Vertical",('Datos de Proyecto'!$D$25*0.9),('Datos de Proyecto'!$D$26*0.9)))</f>
        <v>0</v>
      </c>
      <c r="G5" s="309">
        <f>IF('Datos de Proyecto'!K21=0,0,(IF('Datos de Proyecto'!$J$19="Vertical",('Datos de Proyecto'!K21*'Datos de Proyecto'!$D$26),('Datos de Proyecto'!K21*'Datos de Proyecto'!$D$25))+((N5+O5)/2*0.0127)+0.1))</f>
        <v>0</v>
      </c>
      <c r="H5" s="309">
        <f>IF('Datos de Proyecto'!K21=0,0,IF('Sistema Una fila'!$E$32&gt;0,'Formula de apoyo'!$V$6*'Sistema Una fila'!$E$30+'Sistema Una fila'!$E$32/COS('Sistema Una fila'!$E$38*PI()/180),'Formula de apoyo'!$V$6*'Sistema Una fila'!$E$30))</f>
        <v>0</v>
      </c>
      <c r="I5" s="301">
        <f>IF('Datos de Proyecto'!J21&lt;&gt;0,VLOOKUP('Datos de Proyecto'!K21,'Calculo de Span'!$A$8:$J$27,10,FALSE),0)</f>
        <v>0</v>
      </c>
      <c r="J5" s="301">
        <f>I5*2</f>
        <v>0</v>
      </c>
      <c r="K5" s="301">
        <f>ROUNDUP((C5*B5+D5*B5+E5*A5+F5*I5+G5*2+H5*I5+'Sistema Una fila'!$E$32*I5)/'Datos de Proyecto'!$D$37,0)</f>
        <v>0</v>
      </c>
      <c r="L5" s="301">
        <f>J5</f>
        <v>0</v>
      </c>
      <c r="M5" s="301">
        <f>IF(I5=0,0,IF('Datos de Proyecto'!$D$33&gt;0,(I5+A5+B5+B5)*2,I5))</f>
        <v>0</v>
      </c>
      <c r="N5" s="301">
        <f>IF('Datos de Proyecto'!J21=0,0,4)</f>
        <v>0</v>
      </c>
      <c r="O5" s="301">
        <f>IF('Datos de Proyecto'!J21=0,0,(('Datos de Proyecto'!K21-1)*2))</f>
        <v>0</v>
      </c>
      <c r="P5" s="301">
        <f>IF('Datos de Proyecto'!J21=0,0,1)</f>
        <v>0</v>
      </c>
      <c r="Q5" s="301">
        <f>ROUNDDOWN(G5/'Datos de Proyecto'!$D$37,0)*2</f>
        <v>0</v>
      </c>
      <c r="R5" s="301">
        <f t="shared" ref="R5:R24" si="0">N5</f>
        <v>0</v>
      </c>
      <c r="V5" s="299" t="s">
        <v>535</v>
      </c>
      <c r="Y5" s="616" cm="1">
        <f t="array" ref="Y5">(IF('Datos de Proyecto'!D33=0,_xlfn.IFS(AND('Datos de Proyecto'!D34&gt;=0,'Datos de Proyecto'!D34&lt;=10),VLOOKUP('Datos de Proyecto'!C16,'Hoja de ingenieria 1 Fila'!F6:L24,7,FALSE),(AND('Datos de Proyecto'!D34&gt;10,'Datos de Proyecto'!D34&lt;=20)),VLOOKUP('Datos de Proyecto'!C16,'Hoja de ingenieria 1 Fila'!F25:L43,7,FALSE),(AND('Datos de Proyecto'!D34&gt;20,'Datos de Proyecto'!D34&lt;=30)),VLOOKUP('Datos de Proyecto'!C16,'Hoja de ingenieria 1 Fila'!F44:L62,7,FALSE)),_xlfn.IFS(AND('Datos de Proyecto'!D34&gt;=0,'Datos de Proyecto'!D34&lt;=10),VLOOKUP('Datos de Proyecto'!C16,'Hoja de ingenieria 1 Fila'!F6:L24,7,FALSE)*0.85,(AND('Datos de Proyecto'!D34&gt;10,'Datos de Proyecto'!D34&lt;=20)),VLOOKUP('Datos de Proyecto'!C16,'Hoja de ingenieria 1 Fila'!F25:L43,7,FALSE)*0.85,(AND('Datos de Proyecto'!D34&gt;20,'Datos de Proyecto'!D34&lt;=30)),VLOOKUP('Datos de Proyecto'!C16,'Hoja de ingenieria 1 Fila'!F44:L62,7,FALSE)*0.85)))*'Velocidades de viento'!O13</f>
        <v>1.8524999999999998</v>
      </c>
      <c r="Z5" s="617"/>
      <c r="AA5" s="306" t="s">
        <v>536</v>
      </c>
    </row>
    <row r="6" spans="1:27">
      <c r="A6" s="371">
        <f>IF('Datos de Proyecto'!$D$33&gt;0,IF(I6=2,2,ROUNDUP(I6/2,0)),0)</f>
        <v>0</v>
      </c>
      <c r="B6" s="371">
        <f>IF('Datos de Proyecto'!$D$33&gt;0,IF(I6=0,0,IF(I6&lt;=2,1,2)),0)</f>
        <v>0</v>
      </c>
      <c r="C6" s="372">
        <f>IF('Datos de Proyecto'!K22=0,0,IF('Datos de Proyecto'!$D$33&gt;0,+SQRT(('Calculo de Span'!I9-0.05)^2+('Sistema Una fila'!$E$31-0.2)^2)*0.95,0))</f>
        <v>0</v>
      </c>
      <c r="D6" s="372">
        <f>IF('Datos de Proyecto'!K22=0,0,IF('Datos de Proyecto'!$D$33&gt;0,+SQRT(('Calculo de Span'!I9-0.05)^2+('Sistema Una fila'!$E$32-0.15)^2)*0.97,0))</f>
        <v>0</v>
      </c>
      <c r="E6" s="372">
        <f>IF('Datos de Proyecto'!K22=0,0,+IF('Datos de Proyecto'!$D$33&gt;0,'Sistema Una fila'!$E$35,0))</f>
        <v>0</v>
      </c>
      <c r="F6" s="372">
        <f>IF('Datos de Proyecto'!K22=0,0,IF('Datos de Proyecto'!$J$19="Vertical",('Datos de Proyecto'!$D$25*0.9),('Datos de Proyecto'!$D$26*0.9)))</f>
        <v>0</v>
      </c>
      <c r="G6" s="372">
        <f>IF('Datos de Proyecto'!K22=0,0,(IF('Datos de Proyecto'!$J$19="Vertical",('Datos de Proyecto'!K22*'Datos de Proyecto'!$D$26),('Datos de Proyecto'!K22*'Datos de Proyecto'!$D$25))+((N6+O6)/2*0.0127)+0.1))</f>
        <v>0</v>
      </c>
      <c r="H6" s="372">
        <f>IF('Datos de Proyecto'!K22=0,0,IF('Sistema Una fila'!$E$32&gt;0,'Formula de apoyo'!$V$6*'Sistema Una fila'!$E$30+'Sistema Una fila'!$E$32/COS('Sistema Una fila'!$E$38*PI()/180),'Formula de apoyo'!$V$6*'Sistema Una fila'!$E$30))</f>
        <v>0</v>
      </c>
      <c r="I6" s="371">
        <f>IF('Datos de Proyecto'!J22&lt;&gt;0,VLOOKUP('Datos de Proyecto'!K22,'Calculo de Span'!$A$8:$J$27,10,FALSE),0)</f>
        <v>0</v>
      </c>
      <c r="J6" s="371">
        <f t="shared" ref="J6:J24" si="1">I6*2</f>
        <v>0</v>
      </c>
      <c r="K6" s="371">
        <f>ROUNDUP((C6*B6+D6*B6+E6*A6+F6*I6+G6*2+H6*I6+'Sistema Una fila'!$E$32*I6)/'Datos de Proyecto'!$D$37,0)</f>
        <v>0</v>
      </c>
      <c r="L6" s="371">
        <f t="shared" ref="L6:L24" si="2">J6</f>
        <v>0</v>
      </c>
      <c r="M6" s="371">
        <f>IF(I6=0,0,IF('Datos de Proyecto'!$D$33&gt;0,(I6+A6+B6+B6)*2,I6))</f>
        <v>0</v>
      </c>
      <c r="N6" s="371">
        <f>IF('Datos de Proyecto'!J22=0,0,4)</f>
        <v>0</v>
      </c>
      <c r="O6" s="371">
        <f>IF('Datos de Proyecto'!J22=0,0,(('Datos de Proyecto'!K22-1)*2))</f>
        <v>0</v>
      </c>
      <c r="P6" s="371">
        <f>IF('Datos de Proyecto'!J22=0,0,1)</f>
        <v>0</v>
      </c>
      <c r="Q6" s="371">
        <f>ROUNDDOWN(G6/'Datos de Proyecto'!$D$37,0)*2</f>
        <v>0</v>
      </c>
      <c r="R6" s="371">
        <f t="shared" si="0"/>
        <v>0</v>
      </c>
      <c r="V6" s="310">
        <f>TAN((('Datos de Proyecto'!$D$34*PI()))/180)</f>
        <v>0</v>
      </c>
      <c r="X6" s="299" t="s">
        <v>537</v>
      </c>
      <c r="Y6" s="612">
        <f>IF('Datos de Proyecto'!D33&gt;0,'Span 2 Filas'!F7*0.9,'Span 2 Filas'!F7)</f>
        <v>1.4</v>
      </c>
      <c r="Z6" s="613"/>
      <c r="AA6" s="301" t="s">
        <v>538</v>
      </c>
    </row>
    <row r="7" spans="1:27">
      <c r="A7" s="301">
        <f>IF('Datos de Proyecto'!$D$33&gt;0,IF(I7=2,2,ROUNDUP(I7/2,0)),0)</f>
        <v>0</v>
      </c>
      <c r="B7" s="301">
        <f>IF('Datos de Proyecto'!$D$33&gt;0,IF(I7=0,0,IF(I7&lt;=2,1,2)),0)</f>
        <v>0</v>
      </c>
      <c r="C7" s="309">
        <f>IF('Datos de Proyecto'!K23=0,0,IF('Datos de Proyecto'!$D$33&gt;0,+SQRT(('Calculo de Span'!I10-0.05)^2+('Sistema Una fila'!$E$31-0.2)^2)*0.95,0))</f>
        <v>0</v>
      </c>
      <c r="D7" s="309">
        <f>IF('Datos de Proyecto'!K23=0,0,IF('Datos de Proyecto'!$D$33&gt;0,+SQRT(('Calculo de Span'!I10-0.05)^2+('Sistema Una fila'!$E$32-0.15)^2)*0.97,0))</f>
        <v>0</v>
      </c>
      <c r="E7" s="309">
        <f>IF('Datos de Proyecto'!K23=0,0,+IF('Datos de Proyecto'!$D$33&gt;0,'Sistema Una fila'!$E$35,0))</f>
        <v>0</v>
      </c>
      <c r="F7" s="309">
        <f>IF('Datos de Proyecto'!K23=0,0,IF('Datos de Proyecto'!$J$19="Vertical",('Datos de Proyecto'!$D$25*0.9),('Datos de Proyecto'!$D$26*0.9)))</f>
        <v>0</v>
      </c>
      <c r="G7" s="309">
        <f>IF('Datos de Proyecto'!K23=0,0,(IF('Datos de Proyecto'!$J$19="Vertical",('Datos de Proyecto'!K23*'Datos de Proyecto'!$D$26),('Datos de Proyecto'!K23*'Datos de Proyecto'!$D$25))+((N7+O7)/2*0.0127)+0.1))</f>
        <v>0</v>
      </c>
      <c r="H7" s="309">
        <f>IF('Datos de Proyecto'!K23=0,0,IF('Sistema Una fila'!$E$32&gt;0,'Formula de apoyo'!$V$6*'Sistema Una fila'!$E$30+'Sistema Una fila'!$E$32/COS('Sistema Una fila'!$E$38*PI()/180),'Formula de apoyo'!$V$6*'Sistema Una fila'!$E$30))</f>
        <v>0</v>
      </c>
      <c r="I7" s="301">
        <f>IF('Datos de Proyecto'!J23&lt;&gt;0,VLOOKUP('Datos de Proyecto'!K23,'Calculo de Span'!$A$8:$J$27,10,FALSE),0)</f>
        <v>0</v>
      </c>
      <c r="J7" s="301">
        <f t="shared" si="1"/>
        <v>0</v>
      </c>
      <c r="K7" s="301">
        <f>ROUNDUP((C7*B7+D7*B7+E7*A7+F7*I7+G7*2+H7*I7+'Sistema Una fila'!$E$32*I7)/'Datos de Proyecto'!$D$37,0)</f>
        <v>0</v>
      </c>
      <c r="L7" s="301">
        <f t="shared" si="2"/>
        <v>0</v>
      </c>
      <c r="M7" s="301">
        <f>IF(I7=0,0,IF('Datos de Proyecto'!$D$33&gt;0,(I7+A7+B7+B7)*2,I7))</f>
        <v>0</v>
      </c>
      <c r="N7" s="301">
        <f>IF('Datos de Proyecto'!J23=0,0,4)</f>
        <v>0</v>
      </c>
      <c r="O7" s="301">
        <f>IF('Datos de Proyecto'!J23=0,0,(('Datos de Proyecto'!K23-1)*2))</f>
        <v>0</v>
      </c>
      <c r="P7" s="301">
        <f>IF('Datos de Proyecto'!J23=0,0,1)</f>
        <v>0</v>
      </c>
      <c r="Q7" s="301">
        <f>ROUNDDOWN(G7/'Datos de Proyecto'!$D$37,0)*2</f>
        <v>0</v>
      </c>
      <c r="R7" s="301">
        <f t="shared" si="0"/>
        <v>0</v>
      </c>
      <c r="X7" s="311">
        <f>IF('Datos de Proyecto'!$D$38="",Y7,IF(Y7&lt;'Datos de Proyecto'!$D$38,"Error",'Datos de Proyecto'!$D$38))</f>
        <v>1.8524999999999998</v>
      </c>
      <c r="Y7" s="614">
        <f>(VLOOKUP('Datos de Proyecto'!C16,'Hoja de ingenieria 1 Fila'!F6:L24,7,FALSE))*'Velocidades de viento'!O13</f>
        <v>1.8524999999999998</v>
      </c>
      <c r="Z7" s="615"/>
      <c r="AA7" s="302" t="s">
        <v>539</v>
      </c>
    </row>
    <row r="8" spans="1:27">
      <c r="A8" s="371">
        <f>IF('Datos de Proyecto'!$D$33&gt;0,IF(I8=2,2,ROUNDUP(I8/2,0)),0)</f>
        <v>0</v>
      </c>
      <c r="B8" s="371">
        <f>IF('Datos de Proyecto'!$D$33&gt;0,IF(I8=0,0,IF(I8&lt;=2,1,2)),0)</f>
        <v>0</v>
      </c>
      <c r="C8" s="372">
        <f>IF('Datos de Proyecto'!K24=0,0,IF('Datos de Proyecto'!$D$33&gt;0,+SQRT(('Calculo de Span'!I11-0.05)^2+('Sistema Una fila'!$E$31-0.2)^2)*0.95,0))</f>
        <v>0</v>
      </c>
      <c r="D8" s="372">
        <f>IF('Datos de Proyecto'!K24=0,0,IF('Datos de Proyecto'!$D$33&gt;0,+SQRT(('Calculo de Span'!I11-0.05)^2+('Sistema Una fila'!$E$32-0.15)^2)*0.97,0))</f>
        <v>0</v>
      </c>
      <c r="E8" s="372">
        <f>IF('Datos de Proyecto'!K24=0,0,+IF('Datos de Proyecto'!$D$33&gt;0,'Sistema Una fila'!$E$35,0))</f>
        <v>0</v>
      </c>
      <c r="F8" s="372">
        <f>IF('Datos de Proyecto'!K24=0,0,IF('Datos de Proyecto'!$J$19="Vertical",('Datos de Proyecto'!$D$25*0.9),('Datos de Proyecto'!$D$26*0.9)))</f>
        <v>0</v>
      </c>
      <c r="G8" s="372">
        <f>IF('Datos de Proyecto'!K24=0,0,(IF('Datos de Proyecto'!$J$19="Vertical",('Datos de Proyecto'!K24*'Datos de Proyecto'!$D$26),('Datos de Proyecto'!K24*'Datos de Proyecto'!$D$25))+((N8+O8)/2*0.0127)+0.1))</f>
        <v>0</v>
      </c>
      <c r="H8" s="372">
        <f>IF('Datos de Proyecto'!K24=0,0,IF('Sistema Una fila'!$E$32&gt;0,'Formula de apoyo'!$V$6*'Sistema Una fila'!$E$30+'Sistema Una fila'!$E$32/COS('Sistema Una fila'!$E$38*PI()/180),'Formula de apoyo'!$V$6*'Sistema Una fila'!$E$30))</f>
        <v>0</v>
      </c>
      <c r="I8" s="371">
        <f>IF('Datos de Proyecto'!J24&lt;&gt;0,VLOOKUP('Datos de Proyecto'!K24,'Calculo de Span'!$A$8:$J$27,10,FALSE),0)</f>
        <v>0</v>
      </c>
      <c r="J8" s="371">
        <f t="shared" si="1"/>
        <v>0</v>
      </c>
      <c r="K8" s="371">
        <f>ROUNDUP((C8*B8+D8*B8+E8*A8+F8*I8+G8*2+H8*I8+'Sistema Una fila'!$E$32*I8)/'Datos de Proyecto'!$D$37,0)</f>
        <v>0</v>
      </c>
      <c r="L8" s="371">
        <f t="shared" si="2"/>
        <v>0</v>
      </c>
      <c r="M8" s="371">
        <f>IF(I8=0,0,IF('Datos de Proyecto'!$D$33&gt;0,(I8+A8+B8+B8)*2,I8))</f>
        <v>0</v>
      </c>
      <c r="N8" s="371">
        <f>IF('Datos de Proyecto'!J24=0,0,4)</f>
        <v>0</v>
      </c>
      <c r="O8" s="371">
        <f>IF('Datos de Proyecto'!J24=0,0,(('Datos de Proyecto'!K24-1)*2))</f>
        <v>0</v>
      </c>
      <c r="P8" s="371">
        <f>IF('Datos de Proyecto'!J24=0,0,1)</f>
        <v>0</v>
      </c>
      <c r="Q8" s="371">
        <f>ROUNDDOWN(G8/'Datos de Proyecto'!$D$37,0)*2</f>
        <v>0</v>
      </c>
      <c r="R8" s="371">
        <f t="shared" si="0"/>
        <v>0</v>
      </c>
    </row>
    <row r="9" spans="1:27" ht="15">
      <c r="A9" s="301">
        <f>IF('Datos de Proyecto'!$D$33&gt;0,IF(I9=2,2,ROUNDUP(I9/2,0)),0)</f>
        <v>0</v>
      </c>
      <c r="B9" s="301">
        <f>IF('Datos de Proyecto'!$D$33&gt;0,IF(I9=0,0,IF(I9&lt;=2,1,2)),0)</f>
        <v>0</v>
      </c>
      <c r="C9" s="309">
        <f>IF('Datos de Proyecto'!K25=0,0,IF('Datos de Proyecto'!$D$33&gt;0,+SQRT(('Calculo de Span'!I12-0.05)^2+('Sistema Una fila'!$E$31-0.2)^2)*0.95,0))</f>
        <v>0</v>
      </c>
      <c r="D9" s="309">
        <f>IF('Datos de Proyecto'!K25=0,0,IF('Datos de Proyecto'!$D$33&gt;0,+SQRT(('Calculo de Span'!I12-0.05)^2+('Sistema Una fila'!$E$32-0.15)^2)*0.97,0))</f>
        <v>0</v>
      </c>
      <c r="E9" s="309">
        <f>IF('Datos de Proyecto'!K25=0,0,+IF('Datos de Proyecto'!$D$33&gt;0,'Sistema Una fila'!$E$35,0))</f>
        <v>0</v>
      </c>
      <c r="F9" s="309">
        <f>IF('Datos de Proyecto'!K25=0,0,IF('Datos de Proyecto'!$J$19="Vertical",('Datos de Proyecto'!$D$25*0.9),('Datos de Proyecto'!$D$26*0.9)))</f>
        <v>0</v>
      </c>
      <c r="G9" s="309">
        <f>IF('Datos de Proyecto'!K25=0,0,(IF('Datos de Proyecto'!$J$19="Vertical",('Datos de Proyecto'!K25*'Datos de Proyecto'!$D$26),('Datos de Proyecto'!K25*'Datos de Proyecto'!$D$25))+((N9+O9)/2*0.0127)+0.1))</f>
        <v>0</v>
      </c>
      <c r="H9" s="309">
        <f>IF('Datos de Proyecto'!K25=0,0,IF('Sistema Una fila'!$E$32&gt;0,'Formula de apoyo'!$V$6*'Sistema Una fila'!$E$30+'Sistema Una fila'!$E$32/COS('Sistema Una fila'!$E$38*PI()/180),'Formula de apoyo'!$V$6*'Sistema Una fila'!$E$30))</f>
        <v>0</v>
      </c>
      <c r="I9" s="301">
        <f>IF('Datos de Proyecto'!J25&lt;&gt;0,VLOOKUP('Datos de Proyecto'!K25,'Calculo de Span'!$A$8:$J$27,10,FALSE),0)</f>
        <v>0</v>
      </c>
      <c r="J9" s="301">
        <f t="shared" si="1"/>
        <v>0</v>
      </c>
      <c r="K9" s="301">
        <f>ROUNDUP((C9*B9+D9*B9+E9*A9+F9*I9+G9*2+H9*I9+'Sistema Una fila'!$E$32*I9)/'Datos de Proyecto'!$D$37,0)</f>
        <v>0</v>
      </c>
      <c r="L9" s="301">
        <f t="shared" si="2"/>
        <v>0</v>
      </c>
      <c r="M9" s="301">
        <f>IF(I9=0,0,IF('Datos de Proyecto'!$D$33&gt;0,(I9+A9+B9+B9)*2,I9))</f>
        <v>0</v>
      </c>
      <c r="N9" s="301">
        <f>IF('Datos de Proyecto'!J25=0,0,4)</f>
        <v>0</v>
      </c>
      <c r="O9" s="301">
        <f>IF('Datos de Proyecto'!J25=0,0,(('Datos de Proyecto'!K25-1)*2))</f>
        <v>0</v>
      </c>
      <c r="P9" s="301">
        <f>IF('Datos de Proyecto'!J25=0,0,1)</f>
        <v>0</v>
      </c>
      <c r="Q9" s="301">
        <f>ROUNDDOWN(G9/'Datos de Proyecto'!$D$37,0)*2</f>
        <v>0</v>
      </c>
      <c r="R9" s="301">
        <f t="shared" si="0"/>
        <v>0</v>
      </c>
      <c r="Y9" s="618" t="s">
        <v>540</v>
      </c>
      <c r="Z9" s="619"/>
      <c r="AA9" s="620"/>
    </row>
    <row r="10" spans="1:27">
      <c r="A10" s="371">
        <f>IF('Datos de Proyecto'!$D$33&gt;0,IF(I10=2,2,ROUNDUP(I10/2,0)),0)</f>
        <v>0</v>
      </c>
      <c r="B10" s="371">
        <f>IF('Datos de Proyecto'!$D$33&gt;0,IF(I10=0,0,IF(I10&lt;=2,1,2)),0)</f>
        <v>0</v>
      </c>
      <c r="C10" s="372">
        <f>IF('Datos de Proyecto'!K26=0,0,IF('Datos de Proyecto'!$D$33&gt;0,+SQRT(('Calculo de Span'!I13-0.05)^2+('Sistema Una fila'!$E$31-0.2)^2)*0.95,0))</f>
        <v>0</v>
      </c>
      <c r="D10" s="372">
        <f>IF('Datos de Proyecto'!K26=0,0,IF('Datos de Proyecto'!$D$33&gt;0,+SQRT(('Calculo de Span'!I13-0.05)^2+('Sistema Una fila'!$E$32-0.15)^2)*0.97,0))</f>
        <v>0</v>
      </c>
      <c r="E10" s="372">
        <f>IF('Datos de Proyecto'!K26=0,0,+IF('Datos de Proyecto'!$D$33&gt;0,'Sistema Una fila'!$E$35,0))</f>
        <v>0</v>
      </c>
      <c r="F10" s="372">
        <f>IF('Datos de Proyecto'!K26=0,0,IF('Datos de Proyecto'!$J$19="Vertical",('Datos de Proyecto'!$D$25*0.9),('Datos de Proyecto'!$D$26*0.9)))</f>
        <v>0</v>
      </c>
      <c r="G10" s="372">
        <f>IF('Datos de Proyecto'!K26=0,0,(IF('Datos de Proyecto'!$J$19="Vertical",('Datos de Proyecto'!K26*'Datos de Proyecto'!$D$26),('Datos de Proyecto'!K26*'Datos de Proyecto'!$D$25))+((N10+O10)/2*0.0127)+0.1))</f>
        <v>0</v>
      </c>
      <c r="H10" s="372">
        <f>IF('Datos de Proyecto'!K26=0,0,IF('Sistema Una fila'!$E$32&gt;0,'Formula de apoyo'!$V$6*'Sistema Una fila'!$E$30+'Sistema Una fila'!$E$32/COS('Sistema Una fila'!$E$38*PI()/180),'Formula de apoyo'!$V$6*'Sistema Una fila'!$E$30))</f>
        <v>0</v>
      </c>
      <c r="I10" s="371">
        <f>IF('Datos de Proyecto'!J26&lt;&gt;0,VLOOKUP('Datos de Proyecto'!K26,'Calculo de Span'!$A$8:$J$27,10,FALSE),0)</f>
        <v>0</v>
      </c>
      <c r="J10" s="371">
        <f t="shared" si="1"/>
        <v>0</v>
      </c>
      <c r="K10" s="371">
        <f>ROUNDUP((C10*B10+D10*B10+E10*A10+F10*I10+G10*2+H10*I10+'Sistema Una fila'!$E$32*I10)/'Datos de Proyecto'!$D$37,0)</f>
        <v>0</v>
      </c>
      <c r="L10" s="371">
        <f t="shared" si="2"/>
        <v>0</v>
      </c>
      <c r="M10" s="371">
        <f>IF(I10=0,0,IF('Datos de Proyecto'!$D$33&gt;0,(I10+A10+B10+B10)*2,I10))</f>
        <v>0</v>
      </c>
      <c r="N10" s="371">
        <f>IF('Datos de Proyecto'!J26=0,0,4)</f>
        <v>0</v>
      </c>
      <c r="O10" s="371">
        <f>IF('Datos de Proyecto'!J26=0,0,(('Datos de Proyecto'!K26-1)*2))</f>
        <v>0</v>
      </c>
      <c r="P10" s="371">
        <f>IF('Datos de Proyecto'!J26=0,0,1)</f>
        <v>0</v>
      </c>
      <c r="Q10" s="371">
        <f>ROUNDDOWN(G10/'Datos de Proyecto'!$D$37,0)*2</f>
        <v>0</v>
      </c>
      <c r="R10" s="371">
        <f t="shared" si="0"/>
        <v>0</v>
      </c>
      <c r="Y10" s="303" t="str">
        <f>IF('Datos de Proyecto'!D32&lt;&gt;0,"1_Fila_MSC",IF('Datos de Proyecto'!D33&gt;0,"1_Fila_Pata","1_Fila"))</f>
        <v>1_Fila</v>
      </c>
      <c r="AA10" s="307"/>
    </row>
    <row r="11" spans="1:27">
      <c r="A11" s="301">
        <f>IF('Datos de Proyecto'!$D$33&gt;0,IF(I11=2,2,ROUNDUP(I11/2,0)),0)</f>
        <v>0</v>
      </c>
      <c r="B11" s="301">
        <f>IF('Datos de Proyecto'!$D$33&gt;0,IF(I11=0,0,IF(I11&lt;=2,1,2)),0)</f>
        <v>0</v>
      </c>
      <c r="C11" s="309">
        <f>IF('Datos de Proyecto'!K27=0,0,IF('Datos de Proyecto'!$D$33&gt;0,+SQRT(('Calculo de Span'!I14-0.05)^2+('Sistema Una fila'!$E$31-0.2)^2)*0.95,0))</f>
        <v>0</v>
      </c>
      <c r="D11" s="309">
        <f>IF('Datos de Proyecto'!K27=0,0,IF('Datos de Proyecto'!$D$33&gt;0,+SQRT(('Calculo de Span'!I14-0.05)^2+('Sistema Una fila'!$E$32-0.15)^2)*0.97,0))</f>
        <v>0</v>
      </c>
      <c r="E11" s="309">
        <f>IF('Datos de Proyecto'!K27=0,0,+IF('Datos de Proyecto'!$D$33&gt;0,'Sistema Una fila'!$E$35,0))</f>
        <v>0</v>
      </c>
      <c r="F11" s="309">
        <f>IF('Datos de Proyecto'!K27=0,0,IF('Datos de Proyecto'!$J$19="Vertical",('Datos de Proyecto'!$D$25*0.9),('Datos de Proyecto'!$D$26*0.9)))</f>
        <v>0</v>
      </c>
      <c r="G11" s="309">
        <f>IF('Datos de Proyecto'!K27=0,0,(IF('Datos de Proyecto'!$J$19="Vertical",('Datos de Proyecto'!K27*'Datos de Proyecto'!$D$26),('Datos de Proyecto'!K27*'Datos de Proyecto'!$D$25))+((N11+O11)/2*0.0127)+0.1))</f>
        <v>0</v>
      </c>
      <c r="H11" s="309">
        <f>IF('Datos de Proyecto'!K27=0,0,IF('Sistema Una fila'!$E$32&gt;0,'Formula de apoyo'!$V$6*'Sistema Una fila'!$E$30+'Sistema Una fila'!$E$32/COS('Sistema Una fila'!$E$38*PI()/180),'Formula de apoyo'!$V$6*'Sistema Una fila'!$E$30))</f>
        <v>0</v>
      </c>
      <c r="I11" s="301">
        <f>IF('Datos de Proyecto'!J27&lt;&gt;0,VLOOKUP('Datos de Proyecto'!K27,'Calculo de Span'!$A$8:$J$27,10,FALSE),0)</f>
        <v>0</v>
      </c>
      <c r="J11" s="301">
        <f t="shared" si="1"/>
        <v>0</v>
      </c>
      <c r="K11" s="301">
        <f>ROUNDUP((C11*B11+D11*B11+E11*A11+F11*I11+G11*2+H11*I11+'Sistema Una fila'!$E$32*I11)/'Datos de Proyecto'!$D$37,0)</f>
        <v>0</v>
      </c>
      <c r="L11" s="301">
        <f t="shared" si="2"/>
        <v>0</v>
      </c>
      <c r="M11" s="301">
        <f>IF(I11=0,0,IF('Datos de Proyecto'!$D$33&gt;0,(I11+A11+B11+B11)*2,I11))</f>
        <v>0</v>
      </c>
      <c r="N11" s="301">
        <f>IF('Datos de Proyecto'!J27=0,0,4)</f>
        <v>0</v>
      </c>
      <c r="O11" s="301">
        <f>IF('Datos de Proyecto'!J27=0,0,(('Datos de Proyecto'!K27-1)*2))</f>
        <v>0</v>
      </c>
      <c r="P11" s="301">
        <f>IF('Datos de Proyecto'!J27=0,0,1)</f>
        <v>0</v>
      </c>
      <c r="Q11" s="301">
        <f>ROUNDDOWN(G11/'Datos de Proyecto'!$D$37,0)*2</f>
        <v>0</v>
      </c>
      <c r="R11" s="301">
        <f t="shared" si="0"/>
        <v>0</v>
      </c>
      <c r="Y11" s="303" t="str">
        <f>IF('Datos de Proyecto'!D33&gt;0,"Cortes_1_Fila_Pata","Cortes_1_Fila")</f>
        <v>Cortes_1_Fila</v>
      </c>
      <c r="AA11" s="307"/>
    </row>
    <row r="12" spans="1:27">
      <c r="A12" s="371">
        <f>IF('Datos de Proyecto'!$D$33&gt;0,IF(I12=2,2,ROUNDUP(I12/2,0)),0)</f>
        <v>0</v>
      </c>
      <c r="B12" s="371">
        <f>IF('Datos de Proyecto'!$D$33&gt;0,IF(I12=0,0,IF(I12&lt;=2,1,2)),0)</f>
        <v>0</v>
      </c>
      <c r="C12" s="372">
        <f>IF('Datos de Proyecto'!K28=0,0,IF('Datos de Proyecto'!$D$33&gt;0,+SQRT(('Calculo de Span'!I15-0.05)^2+('Sistema Una fila'!$E$31-0.2)^2)*0.95,0))</f>
        <v>0</v>
      </c>
      <c r="D12" s="372">
        <f>IF('Datos de Proyecto'!K28=0,0,IF('Datos de Proyecto'!$D$33&gt;0,+SQRT(('Calculo de Span'!I15-0.05)^2+('Sistema Una fila'!$E$32-0.15)^2)*0.97,0))</f>
        <v>0</v>
      </c>
      <c r="E12" s="372">
        <f>IF('Datos de Proyecto'!K28=0,0,+IF('Datos de Proyecto'!$D$33&gt;0,'Sistema Una fila'!$E$35,0))</f>
        <v>0</v>
      </c>
      <c r="F12" s="372">
        <f>IF('Datos de Proyecto'!K28=0,0,IF('Datos de Proyecto'!$J$19="Vertical",('Datos de Proyecto'!$D$25*0.9),('Datos de Proyecto'!$D$26*0.9)))</f>
        <v>0</v>
      </c>
      <c r="G12" s="372">
        <f>IF('Datos de Proyecto'!K28=0,0,(IF('Datos de Proyecto'!$J$19="Vertical",('Datos de Proyecto'!K28*'Datos de Proyecto'!$D$26),('Datos de Proyecto'!K28*'Datos de Proyecto'!$D$25))+((N12+O12)/2*0.0127)+0.1))</f>
        <v>0</v>
      </c>
      <c r="H12" s="372">
        <f>IF('Datos de Proyecto'!K28=0,0,IF('Sistema Una fila'!$E$32&gt;0,'Formula de apoyo'!$V$6*'Sistema Una fila'!$E$30+'Sistema Una fila'!$E$32/COS('Sistema Una fila'!$E$38*PI()/180),'Formula de apoyo'!$V$6*'Sistema Una fila'!$E$30))</f>
        <v>0</v>
      </c>
      <c r="I12" s="371">
        <f>IF('Datos de Proyecto'!J28&lt;&gt;0,VLOOKUP('Datos de Proyecto'!K28,'Calculo de Span'!$A$8:$J$27,10,FALSE),0)</f>
        <v>0</v>
      </c>
      <c r="J12" s="371">
        <f t="shared" si="1"/>
        <v>0</v>
      </c>
      <c r="K12" s="371">
        <f>ROUNDUP((C12*B12+D12*B12+E12*A12+F12*I12+G12*2+H12*I12+'Sistema Una fila'!$E$32*I12)/'Datos de Proyecto'!$D$37,0)</f>
        <v>0</v>
      </c>
      <c r="L12" s="371">
        <f t="shared" si="2"/>
        <v>0</v>
      </c>
      <c r="M12" s="371">
        <f>IF(I12=0,0,IF('Datos de Proyecto'!$D$33&gt;0,(I12+A12+B12+B12)*2,I12))</f>
        <v>0</v>
      </c>
      <c r="N12" s="371">
        <f>IF('Datos de Proyecto'!J28=0,0,4)</f>
        <v>0</v>
      </c>
      <c r="O12" s="371">
        <f>IF('Datos de Proyecto'!J28=0,0,(('Datos de Proyecto'!K28-1)*2))</f>
        <v>0</v>
      </c>
      <c r="P12" s="371">
        <f>IF('Datos de Proyecto'!J28=0,0,1)</f>
        <v>0</v>
      </c>
      <c r="Q12" s="371">
        <f>ROUNDDOWN(G12/'Datos de Proyecto'!$D$37,0)*2</f>
        <v>0</v>
      </c>
      <c r="R12" s="371">
        <f t="shared" si="0"/>
        <v>0</v>
      </c>
      <c r="Y12" s="303" t="str">
        <f>IF('Datos de Proyecto'!D33&gt;0,"2_Fila_Pata","2_Fila")</f>
        <v>2_Fila</v>
      </c>
      <c r="AA12" s="307"/>
    </row>
    <row r="13" spans="1:27">
      <c r="A13" s="301">
        <f>IF('Datos de Proyecto'!$D$33&gt;0,IF(I13=2,2,ROUNDUP(I13/2,0)),0)</f>
        <v>0</v>
      </c>
      <c r="B13" s="301">
        <f>IF('Datos de Proyecto'!$D$33&gt;0,IF(I13=0,0,IF(I13&lt;=2,1,2)),0)</f>
        <v>0</v>
      </c>
      <c r="C13" s="309">
        <f>IF('Datos de Proyecto'!K29=0,0,IF('Datos de Proyecto'!$D$33&gt;0,+SQRT(('Calculo de Span'!I16-0.05)^2+('Sistema Una fila'!$E$31-0.2)^2)*0.95,0))</f>
        <v>0</v>
      </c>
      <c r="D13" s="309">
        <f>IF('Datos de Proyecto'!K29=0,0,IF('Datos de Proyecto'!$D$33&gt;0,+SQRT(('Calculo de Span'!I16-0.05)^2+('Sistema Una fila'!$E$32-0.15)^2)*0.97,0))</f>
        <v>0</v>
      </c>
      <c r="E13" s="309">
        <f>IF('Datos de Proyecto'!K29=0,0,+IF('Datos de Proyecto'!$D$33&gt;0,'Sistema Una fila'!$E$35,0))</f>
        <v>0</v>
      </c>
      <c r="F13" s="309">
        <f>IF('Datos de Proyecto'!K29=0,0,IF('Datos de Proyecto'!$J$19="Vertical",('Datos de Proyecto'!$D$25*0.9),('Datos de Proyecto'!$D$26*0.9)))</f>
        <v>0</v>
      </c>
      <c r="G13" s="309">
        <f>IF('Datos de Proyecto'!K29=0,0,(IF('Datos de Proyecto'!$J$19="Vertical",('Datos de Proyecto'!K29*'Datos de Proyecto'!$D$26),('Datos de Proyecto'!K29*'Datos de Proyecto'!$D$25))+((N13+O13)/2*0.0127)+0.1))</f>
        <v>0</v>
      </c>
      <c r="H13" s="309">
        <f>IF('Datos de Proyecto'!K29=0,0,IF('Sistema Una fila'!$E$32&gt;0,'Formula de apoyo'!$V$6*'Sistema Una fila'!$E$30+'Sistema Una fila'!$E$32/COS('Sistema Una fila'!$E$38*PI()/180),'Formula de apoyo'!$V$6*'Sistema Una fila'!$E$30))</f>
        <v>0</v>
      </c>
      <c r="I13" s="301">
        <f>IF('Datos de Proyecto'!J29&lt;&gt;0,VLOOKUP('Datos de Proyecto'!K29,'Calculo de Span'!$A$8:$J$27,10,FALSE),0)</f>
        <v>0</v>
      </c>
      <c r="J13" s="301">
        <f t="shared" si="1"/>
        <v>0</v>
      </c>
      <c r="K13" s="301">
        <f>ROUNDUP((C13*B13+D13*B13+E13*A13+F13*I13+G13*2+H13*I13+'Sistema Una fila'!$E$32*I13)/'Datos de Proyecto'!$D$37,0)</f>
        <v>0</v>
      </c>
      <c r="L13" s="301">
        <f t="shared" si="2"/>
        <v>0</v>
      </c>
      <c r="M13" s="301">
        <f>IF(I13=0,0,IF('Datos de Proyecto'!$D$33&gt;0,(I13+A13+B13+B13)*2,I13))</f>
        <v>0</v>
      </c>
      <c r="N13" s="301">
        <f>IF('Datos de Proyecto'!J29=0,0,4)</f>
        <v>0</v>
      </c>
      <c r="O13" s="301">
        <f>IF('Datos de Proyecto'!J29=0,0,(('Datos de Proyecto'!K29-1)*2))</f>
        <v>0</v>
      </c>
      <c r="P13" s="301">
        <f>IF('Datos de Proyecto'!J29=0,0,1)</f>
        <v>0</v>
      </c>
      <c r="Q13" s="301">
        <f>ROUNDDOWN(G13/'Datos de Proyecto'!$D$37,0)*2</f>
        <v>0</v>
      </c>
      <c r="R13" s="301">
        <f t="shared" si="0"/>
        <v>0</v>
      </c>
      <c r="Y13" s="303" t="str">
        <f>IF('Datos de Proyecto'!D33&gt;0,"Cortes_2_Filas_Pata","Cortes_2_Filas")</f>
        <v>Cortes_2_Filas</v>
      </c>
      <c r="AA13" s="307"/>
    </row>
    <row r="14" spans="1:27">
      <c r="A14" s="371">
        <f>IF('Datos de Proyecto'!$D$33&gt;0,IF(I14=2,2,ROUNDUP(I14/2,0)),0)</f>
        <v>0</v>
      </c>
      <c r="B14" s="371">
        <f>IF('Datos de Proyecto'!$D$33&gt;0,IF(I14=0,0,IF(I14&lt;=2,1,2)),0)</f>
        <v>0</v>
      </c>
      <c r="C14" s="372">
        <f>IF('Datos de Proyecto'!K30=0,0,IF('Datos de Proyecto'!$D$33&gt;0,+SQRT(('Calculo de Span'!I17-0.05)^2+('Sistema Una fila'!$E$31-0.2)^2)*0.95,0))</f>
        <v>0</v>
      </c>
      <c r="D14" s="372">
        <f>IF('Datos de Proyecto'!K30=0,0,IF('Datos de Proyecto'!$D$33&gt;0,+SQRT(('Calculo de Span'!I17-0.05)^2+('Sistema Una fila'!$E$32-0.15)^2)*0.97,0))</f>
        <v>0</v>
      </c>
      <c r="E14" s="372">
        <f>IF('Datos de Proyecto'!K30=0,0,+IF('Datos de Proyecto'!$D$33&gt;0,'Sistema Una fila'!$E$35,0))</f>
        <v>0</v>
      </c>
      <c r="F14" s="372">
        <f>IF('Datos de Proyecto'!K30=0,0,IF('Datos de Proyecto'!$J$19="Vertical",('Datos de Proyecto'!$D$25*0.9),('Datos de Proyecto'!$D$26*0.9)))</f>
        <v>0</v>
      </c>
      <c r="G14" s="372">
        <f>IF('Datos de Proyecto'!K30=0,0,(IF('Datos de Proyecto'!$J$19="Vertical",('Datos de Proyecto'!K30*'Datos de Proyecto'!$D$26),('Datos de Proyecto'!K30*'Datos de Proyecto'!$D$25))+((N14+O14)/2*0.0127)+0.1))</f>
        <v>0</v>
      </c>
      <c r="H14" s="372">
        <f>IF('Datos de Proyecto'!K30=0,0,IF('Sistema Una fila'!$E$32&gt;0,'Formula de apoyo'!$V$6*'Sistema Una fila'!$E$30+'Sistema Una fila'!$E$32/COS('Sistema Una fila'!$E$38*PI()/180),'Formula de apoyo'!$V$6*'Sistema Una fila'!$E$30))</f>
        <v>0</v>
      </c>
      <c r="I14" s="371">
        <f>IF('Datos de Proyecto'!J30&lt;&gt;0,VLOOKUP('Datos de Proyecto'!K30,'Calculo de Span'!$A$8:$J$27,10,FALSE),0)</f>
        <v>0</v>
      </c>
      <c r="J14" s="371">
        <f t="shared" si="1"/>
        <v>0</v>
      </c>
      <c r="K14" s="371">
        <f>ROUNDUP((C14*B14+D14*B14+E14*A14+F14*I14+G14*2+H14*I14+'Sistema Una fila'!$E$32*I14)/'Datos de Proyecto'!$D$37,0)</f>
        <v>0</v>
      </c>
      <c r="L14" s="371">
        <f t="shared" si="2"/>
        <v>0</v>
      </c>
      <c r="M14" s="371">
        <f>IF(I14=0,0,IF('Datos de Proyecto'!$D$33&gt;0,(I14+A14+B14+B14)*2,I14))</f>
        <v>0</v>
      </c>
      <c r="N14" s="371">
        <f>IF('Datos de Proyecto'!J30=0,0,4)</f>
        <v>0</v>
      </c>
      <c r="O14" s="371">
        <f>IF('Datos de Proyecto'!J30=0,0,(('Datos de Proyecto'!K30-1)*2))</f>
        <v>0</v>
      </c>
      <c r="P14" s="371">
        <f>IF('Datos de Proyecto'!J30=0,0,1)</f>
        <v>0</v>
      </c>
      <c r="Q14" s="371">
        <f>ROUNDDOWN(G14/'Datos de Proyecto'!$D$37,0)*2</f>
        <v>0</v>
      </c>
      <c r="R14" s="371">
        <f t="shared" si="0"/>
        <v>0</v>
      </c>
      <c r="V14" s="312"/>
      <c r="Y14" s="313" t="str">
        <f>IF('Datos de Proyecto'!D32="S5! STD","Kr18",IF('Datos de Proyecto'!D32="S5! MX NB","Kr18",IF('Datos de Proyecto'!D32="S5! MX Mini NB","Kr18","Coplanar")))</f>
        <v>Coplanar</v>
      </c>
      <c r="Z14" s="314"/>
      <c r="AA14" s="315"/>
    </row>
    <row r="15" spans="1:27">
      <c r="A15" s="301">
        <f>IF('Datos de Proyecto'!$D$33&gt;0,IF(I15=2,2,ROUNDUP(I15/2,0)),0)</f>
        <v>0</v>
      </c>
      <c r="B15" s="301">
        <f>IF('Datos de Proyecto'!$D$33&gt;0,IF(I15=0,0,IF(I15&lt;=2,1,2)),0)</f>
        <v>0</v>
      </c>
      <c r="C15" s="309">
        <f>IF('Datos de Proyecto'!K31=0,0,IF('Datos de Proyecto'!$D$33&gt;0,+SQRT(('Calculo de Span'!I18-0.05)^2+('Sistema Una fila'!$E$31-0.2)^2)*0.95,0))</f>
        <v>0</v>
      </c>
      <c r="D15" s="309">
        <f>IF('Datos de Proyecto'!K31=0,0,IF('Datos de Proyecto'!$D$33&gt;0,+SQRT(('Calculo de Span'!I18-0.05)^2+('Sistema Una fila'!$E$32-0.15)^2)*0.97,0))</f>
        <v>0</v>
      </c>
      <c r="E15" s="309">
        <f>IF('Datos de Proyecto'!K31=0,0,+IF('Datos de Proyecto'!$D$33&gt;0,'Sistema Una fila'!$E$35,0))</f>
        <v>0</v>
      </c>
      <c r="F15" s="309">
        <f>IF('Datos de Proyecto'!K31=0,0,IF('Datos de Proyecto'!$J$19="Vertical",('Datos de Proyecto'!$D$25*0.9),('Datos de Proyecto'!$D$26*0.9)))</f>
        <v>0</v>
      </c>
      <c r="G15" s="309">
        <f>IF('Datos de Proyecto'!K31=0,0,(IF('Datos de Proyecto'!$J$19="Vertical",('Datos de Proyecto'!K31*'Datos de Proyecto'!$D$26),('Datos de Proyecto'!K31*'Datos de Proyecto'!$D$25))+((N15+O15)/2*0.0127)+0.1))</f>
        <v>0</v>
      </c>
      <c r="H15" s="309">
        <f>IF('Datos de Proyecto'!K31=0,0,IF('Sistema Una fila'!$E$32&gt;0,'Formula de apoyo'!$V$6*'Sistema Una fila'!$E$30+'Sistema Una fila'!$E$32/COS('Sistema Una fila'!$E$38*PI()/180),'Formula de apoyo'!$V$6*'Sistema Una fila'!$E$30))</f>
        <v>0</v>
      </c>
      <c r="I15" s="301">
        <f>IF('Datos de Proyecto'!J31&lt;&gt;0,VLOOKUP('Datos de Proyecto'!K31,'Calculo de Span'!$A$8:$J$27,10,FALSE),0)</f>
        <v>0</v>
      </c>
      <c r="J15" s="301">
        <f t="shared" si="1"/>
        <v>0</v>
      </c>
      <c r="K15" s="301">
        <f>ROUNDUP((C15*B15+D15*B15+E15*A15+F15*I15+G15*2+H15*I15+'Sistema Una fila'!$E$32*I15)/'Datos de Proyecto'!$D$37,0)</f>
        <v>0</v>
      </c>
      <c r="L15" s="301">
        <f t="shared" si="2"/>
        <v>0</v>
      </c>
      <c r="M15" s="301">
        <f>IF(I15=0,0,IF('Datos de Proyecto'!$D$33&gt;0,(I15+A15+B15+B15)*2,I15))</f>
        <v>0</v>
      </c>
      <c r="N15" s="301">
        <f>IF('Datos de Proyecto'!J31=0,0,4)</f>
        <v>0</v>
      </c>
      <c r="O15" s="301">
        <f>IF('Datos de Proyecto'!J31=0,0,(('Datos de Proyecto'!K31-1)*2))</f>
        <v>0</v>
      </c>
      <c r="P15" s="301">
        <f>IF('Datos de Proyecto'!J31=0,0,1)</f>
        <v>0</v>
      </c>
      <c r="Q15" s="301">
        <f>ROUNDDOWN(G15/'Datos de Proyecto'!$D$37,0)*2</f>
        <v>0</v>
      </c>
      <c r="R15" s="301">
        <f t="shared" si="0"/>
        <v>0</v>
      </c>
    </row>
    <row r="16" spans="1:27">
      <c r="A16" s="371">
        <f>IF('Datos de Proyecto'!$D$33&gt;0,IF(I16=2,2,ROUNDUP(I16/2,0)),0)</f>
        <v>0</v>
      </c>
      <c r="B16" s="371">
        <f>IF('Datos de Proyecto'!$D$33&gt;0,IF(I16=0,0,IF(I16&lt;=2,1,2)),0)</f>
        <v>0</v>
      </c>
      <c r="C16" s="372">
        <f>IF('Datos de Proyecto'!K32=0,0,IF('Datos de Proyecto'!$D$33&gt;0,+SQRT(('Calculo de Span'!I19-0.05)^2+('Sistema Una fila'!$E$31-0.2)^2)*0.95,0))</f>
        <v>0</v>
      </c>
      <c r="D16" s="372">
        <f>IF('Datos de Proyecto'!K32=0,0,IF('Datos de Proyecto'!$D$33&gt;0,+SQRT(('Calculo de Span'!I19-0.05)^2+('Sistema Una fila'!$E$32-0.15)^2)*0.97,0))</f>
        <v>0</v>
      </c>
      <c r="E16" s="372">
        <f>IF('Datos de Proyecto'!K32=0,0,+IF('Datos de Proyecto'!$D$33&gt;0,'Sistema Una fila'!$E$35,0))</f>
        <v>0</v>
      </c>
      <c r="F16" s="372">
        <f>IF('Datos de Proyecto'!K32=0,0,IF('Datos de Proyecto'!$J$19="Vertical",('Datos de Proyecto'!$D$25*0.9),('Datos de Proyecto'!$D$26*0.9)))</f>
        <v>0</v>
      </c>
      <c r="G16" s="372">
        <f>IF('Datos de Proyecto'!K32=0,0,(IF('Datos de Proyecto'!$J$19="Vertical",('Datos de Proyecto'!K32*'Datos de Proyecto'!$D$26),('Datos de Proyecto'!K32*'Datos de Proyecto'!$D$25))+((N16+O16)/2*0.0127)+0.1))</f>
        <v>0</v>
      </c>
      <c r="H16" s="372">
        <f>IF('Datos de Proyecto'!K32=0,0,IF('Sistema Una fila'!$E$32&gt;0,'Formula de apoyo'!$V$6*'Sistema Una fila'!$E$30+'Sistema Una fila'!$E$32/COS('Sistema Una fila'!$E$38*PI()/180),'Formula de apoyo'!$V$6*'Sistema Una fila'!$E$30))</f>
        <v>0</v>
      </c>
      <c r="I16" s="371">
        <f>IF('Datos de Proyecto'!J32&lt;&gt;0,VLOOKUP('Datos de Proyecto'!K32,'Calculo de Span'!$A$8:$J$27,10,FALSE),0)</f>
        <v>0</v>
      </c>
      <c r="J16" s="371">
        <f t="shared" si="1"/>
        <v>0</v>
      </c>
      <c r="K16" s="371">
        <f>ROUNDUP((C16*B16+D16*B16+E16*A16+F16*I16+G16*2+H16*I16+'Sistema Una fila'!$E$32*I16)/'Datos de Proyecto'!$D$37,0)</f>
        <v>0</v>
      </c>
      <c r="L16" s="371">
        <f t="shared" si="2"/>
        <v>0</v>
      </c>
      <c r="M16" s="371">
        <f>IF(I16=0,0,IF('Datos de Proyecto'!$D$33&gt;0,(I16+A16+B16+B16)*2,I16))</f>
        <v>0</v>
      </c>
      <c r="N16" s="371">
        <f>IF('Datos de Proyecto'!J32=0,0,4)</f>
        <v>0</v>
      </c>
      <c r="O16" s="371">
        <f>IF('Datos de Proyecto'!J32=0,0,(('Datos de Proyecto'!K32-1)*2))</f>
        <v>0</v>
      </c>
      <c r="P16" s="371">
        <f>IF('Datos de Proyecto'!J32=0,0,1)</f>
        <v>0</v>
      </c>
      <c r="Q16" s="371">
        <f>ROUNDDOWN(G16/'Datos de Proyecto'!$D$37,0)*2</f>
        <v>0</v>
      </c>
      <c r="R16" s="371">
        <f t="shared" si="0"/>
        <v>0</v>
      </c>
    </row>
    <row r="17" spans="1:20">
      <c r="A17" s="301">
        <f>IF('Datos de Proyecto'!$D$33&gt;0,IF(I17=2,2,ROUNDUP(I17/2,0)),0)</f>
        <v>0</v>
      </c>
      <c r="B17" s="301">
        <f>IF('Datos de Proyecto'!$D$33&gt;0,IF(I17=0,0,IF(I17&lt;=2,1,2)),0)</f>
        <v>0</v>
      </c>
      <c r="C17" s="309">
        <f>IF('Datos de Proyecto'!K33=0,0,IF('Datos de Proyecto'!$D$33&gt;0,+SQRT(('Calculo de Span'!I20-0.05)^2+('Sistema Una fila'!$E$31-0.2)^2)*0.95,0))</f>
        <v>0</v>
      </c>
      <c r="D17" s="309">
        <f>IF('Datos de Proyecto'!K33=0,0,IF('Datos de Proyecto'!$D$33&gt;0,+SQRT(('Calculo de Span'!I20-0.05)^2+('Sistema Una fila'!$E$32-0.15)^2)*0.97,0))</f>
        <v>0</v>
      </c>
      <c r="E17" s="309">
        <f>IF('Datos de Proyecto'!K33=0,0,+IF('Datos de Proyecto'!$D$33&gt;0,'Sistema Una fila'!$E$35,0))</f>
        <v>0</v>
      </c>
      <c r="F17" s="309">
        <f>IF('Datos de Proyecto'!K33=0,0,IF('Datos de Proyecto'!$J$19="Vertical",('Datos de Proyecto'!$D$25*0.9),('Datos de Proyecto'!$D$26*0.9)))</f>
        <v>0</v>
      </c>
      <c r="G17" s="309">
        <f>IF('Datos de Proyecto'!K33=0,0,(IF('Datos de Proyecto'!$J$19="Vertical",('Datos de Proyecto'!K33*'Datos de Proyecto'!$D$26),('Datos de Proyecto'!K33*'Datos de Proyecto'!$D$25))+((N17+O17)/2*0.0127)+0.1))</f>
        <v>0</v>
      </c>
      <c r="H17" s="309">
        <f>IF('Datos de Proyecto'!K33=0,0,IF('Sistema Una fila'!$E$32&gt;0,'Formula de apoyo'!$V$6*'Sistema Una fila'!$E$30+'Sistema Una fila'!$E$32/COS('Sistema Una fila'!$E$38*PI()/180),'Formula de apoyo'!$V$6*'Sistema Una fila'!$E$30))</f>
        <v>0</v>
      </c>
      <c r="I17" s="301">
        <f>IF('Datos de Proyecto'!J33&lt;&gt;0,VLOOKUP('Datos de Proyecto'!K33,'Calculo de Span'!$A$8:$J$27,10,FALSE),0)</f>
        <v>0</v>
      </c>
      <c r="J17" s="301">
        <f t="shared" si="1"/>
        <v>0</v>
      </c>
      <c r="K17" s="301">
        <f>ROUNDUP((C17*B17+D17*B17+E17*A17+F17*I17+G17*2+H17*I17+'Sistema Una fila'!$E$32*I17)/'Datos de Proyecto'!$D$37,0)</f>
        <v>0</v>
      </c>
      <c r="L17" s="301">
        <f t="shared" si="2"/>
        <v>0</v>
      </c>
      <c r="M17" s="301">
        <f>IF(I17=0,0,IF('Datos de Proyecto'!$D$33&gt;0,(I17+A17+B17+B17)*2,I17))</f>
        <v>0</v>
      </c>
      <c r="N17" s="301">
        <f>IF('Datos de Proyecto'!J33=0,0,4)</f>
        <v>0</v>
      </c>
      <c r="O17" s="301">
        <f>IF('Datos de Proyecto'!J33=0,0,(('Datos de Proyecto'!K33-1)*2))</f>
        <v>0</v>
      </c>
      <c r="P17" s="301">
        <f>IF('Datos de Proyecto'!J33=0,0,1)</f>
        <v>0</v>
      </c>
      <c r="Q17" s="301">
        <f>ROUNDDOWN(G17/'Datos de Proyecto'!$D$37,0)*2</f>
        <v>0</v>
      </c>
      <c r="R17" s="301">
        <f t="shared" si="0"/>
        <v>0</v>
      </c>
    </row>
    <row r="18" spans="1:20">
      <c r="A18" s="371">
        <f>IF('Datos de Proyecto'!$D$33&gt;0,IF(I18=2,2,ROUNDUP(I18/2,0)),0)</f>
        <v>0</v>
      </c>
      <c r="B18" s="371">
        <f>IF('Datos de Proyecto'!$D$33&gt;0,IF(I18=0,0,IF(I18&lt;=2,1,2)),0)</f>
        <v>0</v>
      </c>
      <c r="C18" s="372">
        <f>IF('Datos de Proyecto'!K34=0,0,IF('Datos de Proyecto'!$D$33&gt;0,+SQRT(('Calculo de Span'!I21-0.05)^2+('Sistema Una fila'!$E$31-0.2)^2)*0.95,0))</f>
        <v>0</v>
      </c>
      <c r="D18" s="372">
        <f>IF('Datos de Proyecto'!K34=0,0,IF('Datos de Proyecto'!$D$33&gt;0,+SQRT(('Calculo de Span'!I21-0.05)^2+('Sistema Una fila'!$E$32-0.15)^2)*0.97,0))</f>
        <v>0</v>
      </c>
      <c r="E18" s="372">
        <f>IF('Datos de Proyecto'!K34=0,0,+IF('Datos de Proyecto'!$D$33&gt;0,'Sistema Una fila'!$E$35,0))</f>
        <v>0</v>
      </c>
      <c r="F18" s="372">
        <f>IF('Datos de Proyecto'!K34=0,0,IF('Datos de Proyecto'!$J$19="Vertical",('Datos de Proyecto'!$D$25*0.9),('Datos de Proyecto'!$D$26*0.9)))</f>
        <v>0</v>
      </c>
      <c r="G18" s="372">
        <f>IF('Datos de Proyecto'!K34=0,0,(IF('Datos de Proyecto'!$J$19="Vertical",('Datos de Proyecto'!K34*'Datos de Proyecto'!$D$26),('Datos de Proyecto'!K34*'Datos de Proyecto'!$D$25))+((N18+O18)/2*0.0127)+0.1))</f>
        <v>0</v>
      </c>
      <c r="H18" s="372">
        <f>IF('Datos de Proyecto'!K34=0,0,IF('Sistema Una fila'!$E$32&gt;0,'Formula de apoyo'!$V$6*'Sistema Una fila'!$E$30+'Sistema Una fila'!$E$32/COS('Sistema Una fila'!$E$38*PI()/180),'Formula de apoyo'!$V$6*'Sistema Una fila'!$E$30))</f>
        <v>0</v>
      </c>
      <c r="I18" s="371">
        <f>IF('Datos de Proyecto'!J34&lt;&gt;0,VLOOKUP('Datos de Proyecto'!K34,'Calculo de Span'!$A$8:$J$27,10,FALSE),0)</f>
        <v>0</v>
      </c>
      <c r="J18" s="371">
        <f t="shared" si="1"/>
        <v>0</v>
      </c>
      <c r="K18" s="371">
        <f>ROUNDUP((C18*B18+D18*B18+E18*A18+F18*I18+G18*2+H18*I18+'Sistema Una fila'!$E$32*I18)/'Datos de Proyecto'!$D$37,0)</f>
        <v>0</v>
      </c>
      <c r="L18" s="371">
        <f t="shared" si="2"/>
        <v>0</v>
      </c>
      <c r="M18" s="371">
        <f>IF(I18=0,0,IF('Datos de Proyecto'!$D$33&gt;0,(I18+A18+B18+B18)*2,I18))</f>
        <v>0</v>
      </c>
      <c r="N18" s="371">
        <f>IF('Datos de Proyecto'!J34=0,0,4)</f>
        <v>0</v>
      </c>
      <c r="O18" s="371">
        <f>IF('Datos de Proyecto'!J34=0,0,(('Datos de Proyecto'!K34-1)*2))</f>
        <v>0</v>
      </c>
      <c r="P18" s="371">
        <f>IF('Datos de Proyecto'!J34=0,0,1)</f>
        <v>0</v>
      </c>
      <c r="Q18" s="371">
        <f>ROUNDDOWN(G18/'Datos de Proyecto'!$D$37,0)*2</f>
        <v>0</v>
      </c>
      <c r="R18" s="371">
        <f t="shared" si="0"/>
        <v>0</v>
      </c>
    </row>
    <row r="19" spans="1:20">
      <c r="A19" s="301">
        <f>IF('Datos de Proyecto'!$D$33&gt;0,IF(I19=2,2,ROUNDUP(I19/2,0)),0)</f>
        <v>0</v>
      </c>
      <c r="B19" s="301">
        <f>IF('Datos de Proyecto'!$D$33&gt;0,IF(I19=0,0,IF(I19&lt;=2,1,2)),0)</f>
        <v>0</v>
      </c>
      <c r="C19" s="309">
        <f>IF('Datos de Proyecto'!K35=0,0,IF('Datos de Proyecto'!$D$33&gt;0,+SQRT(('Calculo de Span'!I22-0.05)^2+('Sistema Una fila'!$E$31-0.2)^2)*0.95,0))</f>
        <v>0</v>
      </c>
      <c r="D19" s="309">
        <f>IF('Datos de Proyecto'!K35=0,0,IF('Datos de Proyecto'!$D$33&gt;0,+SQRT(('Calculo de Span'!I22-0.05)^2+('Sistema Una fila'!$E$32-0.15)^2)*0.97,0))</f>
        <v>0</v>
      </c>
      <c r="E19" s="309">
        <f>IF('Datos de Proyecto'!K35=0,0,+IF('Datos de Proyecto'!$D$33&gt;0,'Sistema Una fila'!$E$35,0))</f>
        <v>0</v>
      </c>
      <c r="F19" s="309">
        <f>IF('Datos de Proyecto'!K35=0,0,IF('Datos de Proyecto'!$J$19="Vertical",('Datos de Proyecto'!$D$25*0.9),('Datos de Proyecto'!$D$26*0.9)))</f>
        <v>0</v>
      </c>
      <c r="G19" s="309">
        <f>IF('Datos de Proyecto'!K35=0,0,(IF('Datos de Proyecto'!$J$19="Vertical",('Datos de Proyecto'!K35*'Datos de Proyecto'!$D$26),('Datos de Proyecto'!K35*'Datos de Proyecto'!$D$25))+((N19+O19)/2*0.0127)+0.1))</f>
        <v>0</v>
      </c>
      <c r="H19" s="309">
        <f>IF('Datos de Proyecto'!K35=0,0,IF('Sistema Una fila'!$E$32&gt;0,'Formula de apoyo'!$V$6*'Sistema Una fila'!$E$30+'Sistema Una fila'!$E$32/COS('Sistema Una fila'!$E$38*PI()/180),'Formula de apoyo'!$V$6*'Sistema Una fila'!$E$30))</f>
        <v>0</v>
      </c>
      <c r="I19" s="301">
        <f>IF('Datos de Proyecto'!J35&lt;&gt;0,VLOOKUP('Datos de Proyecto'!K35,'Calculo de Span'!$A$8:$J$27,10,FALSE),0)</f>
        <v>0</v>
      </c>
      <c r="J19" s="301">
        <f t="shared" si="1"/>
        <v>0</v>
      </c>
      <c r="K19" s="301">
        <f>ROUNDUP((C19*B19+D19*B19+E19*A19+F19*I19+G19*2+H19*I19+'Sistema Una fila'!$E$32*I19)/'Datos de Proyecto'!$D$37,0)</f>
        <v>0</v>
      </c>
      <c r="L19" s="301">
        <f t="shared" si="2"/>
        <v>0</v>
      </c>
      <c r="M19" s="301">
        <f>IF(I19=0,0,IF('Datos de Proyecto'!$D$33&gt;0,(I19+A19+B19+B19)*2,I19))</f>
        <v>0</v>
      </c>
      <c r="N19" s="301">
        <f>IF('Datos de Proyecto'!J35=0,0,4)</f>
        <v>0</v>
      </c>
      <c r="O19" s="301">
        <f>IF('Datos de Proyecto'!J35=0,0,(('Datos de Proyecto'!K35-1)*2))</f>
        <v>0</v>
      </c>
      <c r="P19" s="301">
        <f>IF('Datos de Proyecto'!J35=0,0,1)</f>
        <v>0</v>
      </c>
      <c r="Q19" s="301">
        <f>ROUNDDOWN(G19/'Datos de Proyecto'!$D$37,0)*2</f>
        <v>0</v>
      </c>
      <c r="R19" s="301">
        <f t="shared" si="0"/>
        <v>0</v>
      </c>
    </row>
    <row r="20" spans="1:20">
      <c r="A20" s="371">
        <f>IF('Datos de Proyecto'!$D$33&gt;0,IF(I20=2,2,ROUNDUP(I20/2,0)),0)</f>
        <v>0</v>
      </c>
      <c r="B20" s="371">
        <f>IF('Datos de Proyecto'!$D$33&gt;0,IF(I20=0,0,IF(I20&lt;=2,1,2)),0)</f>
        <v>0</v>
      </c>
      <c r="C20" s="372">
        <f>IF('Datos de Proyecto'!K36=0,0,IF('Datos de Proyecto'!$D$33&gt;0,+SQRT(('Calculo de Span'!I23-0.05)^2+('Sistema Una fila'!$E$31-0.2)^2)*0.95,0))</f>
        <v>0</v>
      </c>
      <c r="D20" s="372">
        <f>IF('Datos de Proyecto'!K36=0,0,IF('Datos de Proyecto'!$D$33&gt;0,+SQRT(('Calculo de Span'!I23-0.05)^2+('Sistema Una fila'!$E$32-0.15)^2)*0.97,0))</f>
        <v>0</v>
      </c>
      <c r="E20" s="372">
        <f>IF('Datos de Proyecto'!K36=0,0,+IF('Datos de Proyecto'!$D$33&gt;0,'Sistema Una fila'!$E$35,0))</f>
        <v>0</v>
      </c>
      <c r="F20" s="372">
        <f>IF('Datos de Proyecto'!K36=0,0,IF('Datos de Proyecto'!$J$19="Vertical",('Datos de Proyecto'!$D$25*0.9),('Datos de Proyecto'!$D$26*0.9)))</f>
        <v>0</v>
      </c>
      <c r="G20" s="372">
        <f>IF('Datos de Proyecto'!K36=0,0,(IF('Datos de Proyecto'!$J$19="Vertical",('Datos de Proyecto'!K36*'Datos de Proyecto'!$D$26),('Datos de Proyecto'!K36*'Datos de Proyecto'!$D$25))+((N20+O20)/2*0.0127)+0.1))</f>
        <v>0</v>
      </c>
      <c r="H20" s="372">
        <f>IF('Datos de Proyecto'!K36=0,0,IF('Sistema Una fila'!$E$32&gt;0,'Formula de apoyo'!$V$6*'Sistema Una fila'!$E$30+'Sistema Una fila'!$E$32/COS('Sistema Una fila'!$E$38*PI()/180),'Formula de apoyo'!$V$6*'Sistema Una fila'!$E$30))</f>
        <v>0</v>
      </c>
      <c r="I20" s="371">
        <f>IF('Datos de Proyecto'!J36&lt;&gt;0,VLOOKUP('Datos de Proyecto'!K36,'Calculo de Span'!$A$8:$J$27,10,FALSE),0)</f>
        <v>0</v>
      </c>
      <c r="J20" s="371">
        <f t="shared" si="1"/>
        <v>0</v>
      </c>
      <c r="K20" s="371">
        <f>ROUNDUP((C20*B20+D20*B20+E20*A20+F20*I20+G20*2+H20*I20+'Sistema Una fila'!$E$32*I20)/'Datos de Proyecto'!$D$37,0)</f>
        <v>0</v>
      </c>
      <c r="L20" s="371">
        <f t="shared" si="2"/>
        <v>0</v>
      </c>
      <c r="M20" s="371">
        <f>IF(I20=0,0,IF('Datos de Proyecto'!$D$33&gt;0,(I20+A20+B20+B20)*2,I20))</f>
        <v>0</v>
      </c>
      <c r="N20" s="371">
        <f>IF('Datos de Proyecto'!J36=0,0,4)</f>
        <v>0</v>
      </c>
      <c r="O20" s="371">
        <f>IF('Datos de Proyecto'!J36=0,0,(('Datos de Proyecto'!K36-1)*2))</f>
        <v>0</v>
      </c>
      <c r="P20" s="371">
        <f>IF('Datos de Proyecto'!J36=0,0,1)</f>
        <v>0</v>
      </c>
      <c r="Q20" s="371">
        <f>ROUNDDOWN(G20/'Datos de Proyecto'!$D$37,0)*2</f>
        <v>0</v>
      </c>
      <c r="R20" s="371">
        <f t="shared" si="0"/>
        <v>0</v>
      </c>
    </row>
    <row r="21" spans="1:20">
      <c r="A21" s="301">
        <f>IF('Datos de Proyecto'!$D$33&gt;0,IF(I21=2,2,ROUNDUP(I21/2,0)),0)</f>
        <v>0</v>
      </c>
      <c r="B21" s="301">
        <f>IF('Datos de Proyecto'!$D$33&gt;0,IF(I21=0,0,IF(I21&lt;=2,1,2)),0)</f>
        <v>0</v>
      </c>
      <c r="C21" s="309">
        <f>IF('Datos de Proyecto'!K37=0,0,IF('Datos de Proyecto'!$D$33&gt;0,+SQRT(('Calculo de Span'!I24-0.05)^2+('Sistema Una fila'!$E$31-0.2)^2)*0.95,0))</f>
        <v>0</v>
      </c>
      <c r="D21" s="309">
        <f>IF('Datos de Proyecto'!K37=0,0,IF('Datos de Proyecto'!$D$33&gt;0,+SQRT(('Calculo de Span'!I24-0.05)^2+('Sistema Una fila'!$E$32-0.15)^2)*0.97,0))</f>
        <v>0</v>
      </c>
      <c r="E21" s="309">
        <f>IF('Datos de Proyecto'!K37=0,0,+IF('Datos de Proyecto'!$D$33&gt;0,'Sistema Una fila'!$E$35,0))</f>
        <v>0</v>
      </c>
      <c r="F21" s="309">
        <f>IF('Datos de Proyecto'!K37=0,0,IF('Datos de Proyecto'!$J$19="Vertical",('Datos de Proyecto'!$D$25*0.9),('Datos de Proyecto'!$D$26*0.9)))</f>
        <v>0</v>
      </c>
      <c r="G21" s="309">
        <f>IF('Datos de Proyecto'!K37=0,0,(IF('Datos de Proyecto'!$J$19="Vertical",('Datos de Proyecto'!K37*'Datos de Proyecto'!$D$26),('Datos de Proyecto'!K37*'Datos de Proyecto'!$D$25))+((N21+O21)/2*0.0127)+0.1))</f>
        <v>0</v>
      </c>
      <c r="H21" s="309">
        <f>IF('Datos de Proyecto'!K37=0,0,IF('Sistema Una fila'!$E$32&gt;0,'Formula de apoyo'!$V$6*'Sistema Una fila'!$E$30+'Sistema Una fila'!$E$32/COS('Sistema Una fila'!$E$38*PI()/180),'Formula de apoyo'!$V$6*'Sistema Una fila'!$E$30))</f>
        <v>0</v>
      </c>
      <c r="I21" s="301">
        <f>IF('Datos de Proyecto'!J37&lt;&gt;0,VLOOKUP('Datos de Proyecto'!K37,'Calculo de Span'!$A$8:$J$27,10,FALSE),0)</f>
        <v>0</v>
      </c>
      <c r="J21" s="301">
        <f t="shared" si="1"/>
        <v>0</v>
      </c>
      <c r="K21" s="301">
        <f>ROUNDUP((C21*B21+D21*B21+E21*A21+F21*I21+G21*2+H21*I21+'Sistema Una fila'!$E$32*I21)/'Datos de Proyecto'!$D$37,0)</f>
        <v>0</v>
      </c>
      <c r="L21" s="301">
        <f t="shared" si="2"/>
        <v>0</v>
      </c>
      <c r="M21" s="301">
        <f>IF(I21=0,0,IF('Datos de Proyecto'!$D$33&gt;0,(I21+A21+B21+B21)*2,I21))</f>
        <v>0</v>
      </c>
      <c r="N21" s="301">
        <f>IF('Datos de Proyecto'!J37=0,0,4)</f>
        <v>0</v>
      </c>
      <c r="O21" s="301">
        <f>IF('Datos de Proyecto'!J37=0,0,(('Datos de Proyecto'!K37-1)*2))</f>
        <v>0</v>
      </c>
      <c r="P21" s="301">
        <f>IF('Datos de Proyecto'!J37=0,0,1)</f>
        <v>0</v>
      </c>
      <c r="Q21" s="301">
        <f>ROUNDDOWN(G21/'Datos de Proyecto'!$D$37,0)*2</f>
        <v>0</v>
      </c>
      <c r="R21" s="301">
        <f t="shared" si="0"/>
        <v>0</v>
      </c>
    </row>
    <row r="22" spans="1:20">
      <c r="A22" s="371">
        <f>IF('Datos de Proyecto'!$D$33&gt;0,IF(I22=2,2,ROUNDUP(I22/2,0)),0)</f>
        <v>0</v>
      </c>
      <c r="B22" s="371">
        <f>IF('Datos de Proyecto'!$D$33&gt;0,IF(I22=0,0,IF(I22&lt;=2,1,2)),0)</f>
        <v>0</v>
      </c>
      <c r="C22" s="372">
        <f>IF('Datos de Proyecto'!K38=0,0,IF('Datos de Proyecto'!$D$33&gt;0,+SQRT(('Calculo de Span'!I25-0.05)^2+('Sistema Una fila'!$E$31-0.2)^2)*0.95,0))</f>
        <v>0</v>
      </c>
      <c r="D22" s="372">
        <f>IF('Datos de Proyecto'!K38=0,0,IF('Datos de Proyecto'!$D$33&gt;0,+SQRT(('Calculo de Span'!I25-0.05)^2+('Sistema Una fila'!$E$32-0.15)^2)*0.97,0))</f>
        <v>0</v>
      </c>
      <c r="E22" s="372">
        <f>IF('Datos de Proyecto'!K38=0,0,+IF('Datos de Proyecto'!$D$33&gt;0,'Sistema Una fila'!$E$35,0))</f>
        <v>0</v>
      </c>
      <c r="F22" s="372">
        <f>IF('Datos de Proyecto'!K38=0,0,IF('Datos de Proyecto'!$J$19="Vertical",('Datos de Proyecto'!$D$25*0.9),('Datos de Proyecto'!$D$26*0.9)))</f>
        <v>0</v>
      </c>
      <c r="G22" s="372">
        <f>IF('Datos de Proyecto'!K38=0,0,(IF('Datos de Proyecto'!$J$19="Vertical",('Datos de Proyecto'!K38*'Datos de Proyecto'!$D$26),('Datos de Proyecto'!K38*'Datos de Proyecto'!$D$25))+((N22+O22)/2*0.0127)+0.1))</f>
        <v>0</v>
      </c>
      <c r="H22" s="372">
        <f>IF('Datos de Proyecto'!K38=0,0,IF('Sistema Una fila'!$E$32&gt;0,'Formula de apoyo'!$V$6*'Sistema Una fila'!$E$30+'Sistema Una fila'!$E$32/COS('Sistema Una fila'!$E$38*PI()/180),'Formula de apoyo'!$V$6*'Sistema Una fila'!$E$30))</f>
        <v>0</v>
      </c>
      <c r="I22" s="371">
        <f>IF('Datos de Proyecto'!J38&lt;&gt;0,VLOOKUP('Datos de Proyecto'!K38,'Calculo de Span'!$A$8:$J$27,10,FALSE),0)</f>
        <v>0</v>
      </c>
      <c r="J22" s="371">
        <f t="shared" si="1"/>
        <v>0</v>
      </c>
      <c r="K22" s="371">
        <f>ROUNDUP((C22*B22+D22*B22+E22*A22+F22*I22+G22*2+H22*I22+'Sistema Una fila'!$E$32*I22)/'Datos de Proyecto'!$D$37,0)</f>
        <v>0</v>
      </c>
      <c r="L22" s="371">
        <f t="shared" si="2"/>
        <v>0</v>
      </c>
      <c r="M22" s="371">
        <f>IF(I22=0,0,IF('Datos de Proyecto'!$D$33&gt;0,(I22+A22+B22+B22)*2,I22))</f>
        <v>0</v>
      </c>
      <c r="N22" s="371">
        <f>IF('Datos de Proyecto'!J38=0,0,4)</f>
        <v>0</v>
      </c>
      <c r="O22" s="371">
        <f>IF('Datos de Proyecto'!J38=0,0,(('Datos de Proyecto'!K38-1)*2))</f>
        <v>0</v>
      </c>
      <c r="P22" s="371">
        <f>IF('Datos de Proyecto'!J38=0,0,1)</f>
        <v>0</v>
      </c>
      <c r="Q22" s="371">
        <f>ROUNDDOWN(G22/'Datos de Proyecto'!$D$37,0)*2</f>
        <v>0</v>
      </c>
      <c r="R22" s="371">
        <f t="shared" si="0"/>
        <v>0</v>
      </c>
    </row>
    <row r="23" spans="1:20">
      <c r="A23" s="301">
        <f>IF('Datos de Proyecto'!$D$33&gt;0,IF(I23=2,2,ROUNDUP(I23/2,0)),0)</f>
        <v>0</v>
      </c>
      <c r="B23" s="301">
        <f>IF('Datos de Proyecto'!$D$33&gt;0,IF(I23=0,0,IF(I23&lt;=2,1,2)),0)</f>
        <v>0</v>
      </c>
      <c r="C23" s="309">
        <f>IF('Datos de Proyecto'!K39=0,0,IF('Datos de Proyecto'!$D$33&gt;0,+SQRT(('Calculo de Span'!I26-0.05)^2+('Sistema Una fila'!$E$31-0.2)^2)*0.95,0))</f>
        <v>0</v>
      </c>
      <c r="D23" s="309">
        <f>IF('Datos de Proyecto'!K39=0,0,IF('Datos de Proyecto'!$D$33&gt;0,+SQRT(('Calculo de Span'!I26-0.05)^2+('Sistema Una fila'!$E$32-0.15)^2)*0.97,0))</f>
        <v>0</v>
      </c>
      <c r="E23" s="309">
        <f>IF('Datos de Proyecto'!K39=0,0,+IF('Datos de Proyecto'!$D$33&gt;0,'Sistema Una fila'!$E$35,0))</f>
        <v>0</v>
      </c>
      <c r="F23" s="309">
        <f>IF('Datos de Proyecto'!K39=0,0,IF('Datos de Proyecto'!$J$19="Vertical",('Datos de Proyecto'!$D$25*0.9),('Datos de Proyecto'!$D$26*0.9)))</f>
        <v>0</v>
      </c>
      <c r="G23" s="309">
        <f>IF('Datos de Proyecto'!K39=0,0,(IF('Datos de Proyecto'!$J$19="Vertical",('Datos de Proyecto'!K39*'Datos de Proyecto'!$D$26),('Datos de Proyecto'!K39*'Datos de Proyecto'!$D$25))+((N23+O23)/2*0.0127)+0.1))</f>
        <v>0</v>
      </c>
      <c r="H23" s="309">
        <f>IF('Datos de Proyecto'!K39=0,0,IF('Sistema Una fila'!$E$32&gt;0,'Formula de apoyo'!$V$6*'Sistema Una fila'!$E$30+'Sistema Una fila'!$E$32/COS('Sistema Una fila'!$E$38*PI()/180),'Formula de apoyo'!$V$6*'Sistema Una fila'!$E$30))</f>
        <v>0</v>
      </c>
      <c r="I23" s="301">
        <f>IF('Datos de Proyecto'!J39&lt;&gt;0,VLOOKUP('Datos de Proyecto'!K39,'Calculo de Span'!$A$8:$J$27,10,FALSE),0)</f>
        <v>0</v>
      </c>
      <c r="J23" s="301">
        <f t="shared" si="1"/>
        <v>0</v>
      </c>
      <c r="K23" s="301">
        <f>ROUNDUP((C23*B23+D23*B23+E23*A23+F23*I23+G23*2+H23*I23+'Sistema Una fila'!$E$32*I23)/'Datos de Proyecto'!$D$37,0)</f>
        <v>0</v>
      </c>
      <c r="L23" s="301">
        <f t="shared" si="2"/>
        <v>0</v>
      </c>
      <c r="M23" s="301">
        <f>IF(I23=0,0,IF('Datos de Proyecto'!$D$33&gt;0,(I23+A23+B23+B23)*2,I23))</f>
        <v>0</v>
      </c>
      <c r="N23" s="301">
        <f>IF('Datos de Proyecto'!J39=0,0,4)</f>
        <v>0</v>
      </c>
      <c r="O23" s="301">
        <f>IF('Datos de Proyecto'!J39=0,0,(('Datos de Proyecto'!K39-1)*2))</f>
        <v>0</v>
      </c>
      <c r="P23" s="301">
        <f>IF('Datos de Proyecto'!J39=0,0,1)</f>
        <v>0</v>
      </c>
      <c r="Q23" s="301">
        <f>ROUNDDOWN(G23/'Datos de Proyecto'!$D$37,0)*2</f>
        <v>0</v>
      </c>
      <c r="R23" s="301">
        <f t="shared" si="0"/>
        <v>0</v>
      </c>
    </row>
    <row r="24" spans="1:20">
      <c r="A24" s="373">
        <f>IF('Datos de Proyecto'!$D$33&gt;0,IF(I24=2,2,ROUNDUP(I24/2,0)),0)</f>
        <v>0</v>
      </c>
      <c r="B24" s="373">
        <f>IF('Datos de Proyecto'!$D$33&gt;0,IF(I24=0,0,IF(I24&lt;=2,1,2)),0)</f>
        <v>0</v>
      </c>
      <c r="C24" s="374">
        <f>IF('Datos de Proyecto'!K40=0,0,IF('Datos de Proyecto'!$D$33&gt;0,+SQRT(('Calculo de Span'!I27-0.05)^2+('Sistema Una fila'!$E$31-0.2)^2)*0.95,0))</f>
        <v>0</v>
      </c>
      <c r="D24" s="374">
        <f>IF('Datos de Proyecto'!K40=0,0,IF('Datos de Proyecto'!$D$33&gt;0,+SQRT(('Calculo de Span'!I27-0.05)^2+('Sistema Una fila'!$E$32-0.15)^2)*0.97,0))</f>
        <v>0</v>
      </c>
      <c r="E24" s="374">
        <f>IF('Datos de Proyecto'!K40=0,0,+IF('Datos de Proyecto'!$D$33&gt;0,'Sistema Una fila'!$E$35,0))</f>
        <v>0</v>
      </c>
      <c r="F24" s="374">
        <f>IF('Datos de Proyecto'!K40=0,0,IF('Datos de Proyecto'!$J$19="Vertical",('Datos de Proyecto'!$D$25*0.9),('Datos de Proyecto'!$D$26*0.9)))</f>
        <v>0</v>
      </c>
      <c r="G24" s="374">
        <f>IF('Datos de Proyecto'!K40=0,0,(IF('Datos de Proyecto'!$J$19="Vertical",('Datos de Proyecto'!K40*'Datos de Proyecto'!$D$26),('Datos de Proyecto'!K40*'Datos de Proyecto'!$D$25))+((N24+O24)/2*0.0127)+0.1))</f>
        <v>0</v>
      </c>
      <c r="H24" s="374">
        <f>IF('Datos de Proyecto'!K40=0,0,IF('Sistema Una fila'!$E$32&gt;0,'Formula de apoyo'!$V$6*'Sistema Una fila'!$E$30+'Sistema Una fila'!$E$32/COS('Sistema Una fila'!$E$38*PI()/180),'Formula de apoyo'!$V$6*'Sistema Una fila'!$E$30))</f>
        <v>0</v>
      </c>
      <c r="I24" s="373">
        <f>IF('Datos de Proyecto'!J40&lt;&gt;0,VLOOKUP('Datos de Proyecto'!K40,'Calculo de Span'!$A$8:$J$27,10,FALSE),0)</f>
        <v>0</v>
      </c>
      <c r="J24" s="373">
        <f t="shared" si="1"/>
        <v>0</v>
      </c>
      <c r="K24" s="373">
        <f>ROUNDUP((C24*B24+D24*B24+E24*A24+F24*I24+G24*2+H24*I24+'Sistema Una fila'!$E$32*I24)/'Datos de Proyecto'!$D$37,0)</f>
        <v>0</v>
      </c>
      <c r="L24" s="373">
        <f t="shared" si="2"/>
        <v>0</v>
      </c>
      <c r="M24" s="373">
        <f>IF(I24=0,0,IF('Datos de Proyecto'!$D$33&gt;0,(I24+A24+B24+B24)*2,I24))</f>
        <v>0</v>
      </c>
      <c r="N24" s="373">
        <f>IF('Datos de Proyecto'!J40=0,0,4)</f>
        <v>0</v>
      </c>
      <c r="O24" s="373">
        <f>IF('Datos de Proyecto'!J40=0,0,(('Datos de Proyecto'!K40-1)*2))</f>
        <v>0</v>
      </c>
      <c r="P24" s="373">
        <f>IF('Datos de Proyecto'!J40=0,0,1)</f>
        <v>0</v>
      </c>
      <c r="Q24" s="373">
        <f>ROUNDDOWN(G24/'Datos de Proyecto'!$D$37,0)*2</f>
        <v>0</v>
      </c>
      <c r="R24" s="373">
        <f t="shared" si="0"/>
        <v>0</v>
      </c>
    </row>
    <row r="25" spans="1:20">
      <c r="B25" s="299">
        <f>SUM(B5:B24)</f>
        <v>0</v>
      </c>
      <c r="I25" s="299">
        <f>SUM(I5:I24)</f>
        <v>0</v>
      </c>
    </row>
    <row r="27" spans="1:20" ht="21.5">
      <c r="A27" s="606" t="s">
        <v>541</v>
      </c>
      <c r="B27" s="606"/>
      <c r="C27" s="606"/>
      <c r="D27" s="606"/>
      <c r="E27" s="606"/>
      <c r="F27" s="606"/>
      <c r="G27" s="606"/>
      <c r="H27" s="606"/>
      <c r="I27" s="606"/>
      <c r="J27" s="606"/>
      <c r="K27" s="606"/>
      <c r="L27" s="606"/>
      <c r="M27" s="606"/>
      <c r="N27" s="606"/>
      <c r="O27" s="606"/>
      <c r="P27" s="606"/>
      <c r="Q27" s="606"/>
      <c r="R27" s="606"/>
      <c r="S27" s="606"/>
      <c r="T27" s="606"/>
    </row>
    <row r="28" spans="1:20">
      <c r="A28" s="316" t="s">
        <v>521</v>
      </c>
      <c r="B28" s="316" t="s">
        <v>542</v>
      </c>
      <c r="C28" s="316" t="s">
        <v>512</v>
      </c>
      <c r="D28" s="317" t="s">
        <v>523</v>
      </c>
      <c r="E28" s="316" t="s">
        <v>140</v>
      </c>
      <c r="F28" s="316" t="s">
        <v>525</v>
      </c>
      <c r="G28" s="316" t="s">
        <v>526</v>
      </c>
      <c r="H28" s="316" t="s">
        <v>543</v>
      </c>
      <c r="I28" s="318" t="s">
        <v>544</v>
      </c>
      <c r="J28" s="316" t="s">
        <v>527</v>
      </c>
      <c r="K28" s="316" t="s">
        <v>545</v>
      </c>
      <c r="L28" s="316" t="s">
        <v>529</v>
      </c>
      <c r="M28" s="316" t="s">
        <v>530</v>
      </c>
      <c r="N28" s="316" t="s">
        <v>511</v>
      </c>
      <c r="O28" s="316" t="s">
        <v>510</v>
      </c>
      <c r="P28" s="316" t="s">
        <v>515</v>
      </c>
      <c r="Q28" s="319" t="s">
        <v>516</v>
      </c>
      <c r="R28" s="316" t="s">
        <v>175</v>
      </c>
      <c r="S28" s="316" t="s">
        <v>532</v>
      </c>
      <c r="T28" s="316" t="s">
        <v>546</v>
      </c>
    </row>
    <row r="29" spans="1:20">
      <c r="A29" s="375">
        <f>IF('Datos de Proyecto'!$D$33&gt;0,K29,0)</f>
        <v>0</v>
      </c>
      <c r="B29" s="375">
        <f>IF(K29=0,0,IF(K29&lt;=2,1,2))</f>
        <v>0</v>
      </c>
      <c r="C29" s="309">
        <f>IF('Datos de Proyecto'!N21=0,0,SQRT(('Calculo de Span'!U8-0.05)^2+(J29-0.2)^2)*0.95)</f>
        <v>0</v>
      </c>
      <c r="D29" s="309">
        <f>IF('Datos de Proyecto'!N21=0,0,IF('Datos de Proyecto'!$D$33&gt;0,+SQRT(('Calculo de Span'!U8-0.05)^2+('Sistema Dos filas'!$E$35-0.15)^2)*0.97,0))</f>
        <v>0</v>
      </c>
      <c r="E29" s="309">
        <f>IF('Datos de Proyecto'!N21=0,0,+IF('Datos de Proyecto'!$D$33&gt;0,'Sistema Dos filas'!$E$38,0))</f>
        <v>0</v>
      </c>
      <c r="F29" s="309">
        <f>IF('Datos de Proyecto'!$M$19="Vertical",(('Datos de Proyecto'!$D$25*0.9)+'Datos de Proyecto'!$D$25),('Datos de Proyecto'!$D$26*0.9)+'Datos de Proyecto'!$D$26)</f>
        <v>4.5296000000000003</v>
      </c>
      <c r="G29" s="309">
        <f>IF('Datos de Proyecto'!N21=0,0,(IF('Datos de Proyecto'!$M$19="Vertical",('Datos de Proyecto'!N21*'Datos de Proyecto'!$D$26),('Datos de Proyecto'!N21*'Datos de Proyecto'!$D$25))+((P29+Q29)/4*0.0127)+0.1))</f>
        <v>0</v>
      </c>
      <c r="H29" s="309">
        <f>IF('Sistema Dos filas'!$E$35&gt;0,'Formula de apoyo'!$V$6*'Sistema Dos filas'!$E$31*1/3+'Sistema Dos filas'!$E$35/COS('Sistema Dos filas'!$E$41*PI()/180),'Formula de apoyo'!$V$6*'Sistema Dos filas'!$E$31*1/3)</f>
        <v>0</v>
      </c>
      <c r="I29" s="309">
        <f>IF('Sistema Dos filas'!$E$35&gt;0,'Formula de apoyo'!$V$6*'Sistema Dos filas'!$E$31*2/3+'Sistema Dos filas'!$E$35/COS('Sistema Dos filas'!$E$41*PI()/180),'Formula de apoyo'!$V$6*'Sistema Dos filas'!$E$31*2/3)</f>
        <v>0</v>
      </c>
      <c r="J29" s="309">
        <f>IF('Sistema Dos filas'!$E$35&gt;0,'Formula de apoyo'!$V$6*'Sistema Dos filas'!$E$31+'Sistema Dos filas'!$E$35/COS('Sistema Dos filas'!$E$41*PI()/180),'Formula de apoyo'!$V$6*'Sistema Dos filas'!$E$31)</f>
        <v>0</v>
      </c>
      <c r="K29" s="301">
        <f>IF('Datos de Proyecto'!M21&lt;&gt;0,VLOOKUP('Datos de Proyecto'!N21,'Calculo de Span'!$M$8:$W$27,10,FALSE),0)</f>
        <v>0</v>
      </c>
      <c r="L29" s="301">
        <f>+K29*4</f>
        <v>0</v>
      </c>
      <c r="M29" s="301">
        <f>IF('Datos de Proyecto'!$D$33&gt;0,ROUNDUP((A29*E29+B29*C29+B29*D29+F29*K29+G29*4+H29*K29+I29*K29+J29*K29+'Datos de Proyecto'!$D$33*K29)/'Datos de Proyecto'!$D$37,0),ROUNDUP((B29*C29+F29*K29+G29*4+H29*K29+I29*K29+J29*K29)/'Datos de Proyecto'!$D$37,0))</f>
        <v>0</v>
      </c>
      <c r="N29" s="301">
        <f>+L29</f>
        <v>0</v>
      </c>
      <c r="O29" s="301">
        <f>IF(K29=0,0,IF('Datos de Proyecto'!$D$33&gt;0,(A29+B29+B29)*2+K29*4,K29*3+B29*2))</f>
        <v>0</v>
      </c>
      <c r="P29" s="301">
        <f>IF('Datos de Proyecto'!M21=0,0,4)*2</f>
        <v>0</v>
      </c>
      <c r="Q29" s="301">
        <f>IF('Datos de Proyecto'!M21=0,0,(('Datos de Proyecto'!N21-1)*4))</f>
        <v>0</v>
      </c>
      <c r="R29" s="301">
        <f>IF('Datos de Proyecto'!M21=0,0,1)</f>
        <v>0</v>
      </c>
      <c r="S29" s="301">
        <f>ROUNDDOWN(G29/'Datos de Proyecto'!$D$37,0)*4</f>
        <v>0</v>
      </c>
      <c r="T29" s="301">
        <f>+P29</f>
        <v>0</v>
      </c>
    </row>
    <row r="30" spans="1:20">
      <c r="A30" s="376">
        <f>IF('Datos de Proyecto'!$D$33&gt;0,K30,0)</f>
        <v>0</v>
      </c>
      <c r="B30" s="376">
        <f t="shared" ref="B30:B48" si="3">IF(K30=0,0,IF(K30&lt;=2,1,2))</f>
        <v>0</v>
      </c>
      <c r="C30" s="372">
        <f>IF('Datos de Proyecto'!N22=0,0,SQRT(('Calculo de Span'!U9-0.05)^2+(J30-0.2)^2)*0.95)</f>
        <v>0</v>
      </c>
      <c r="D30" s="372">
        <f>IF('Datos de Proyecto'!N22=0,0,IF('Datos de Proyecto'!$D$33&gt;0,+SQRT(('Calculo de Span'!U9-0.05)^2+('Sistema Dos filas'!$E$35-0.15)^2)*0.97,0))</f>
        <v>0</v>
      </c>
      <c r="E30" s="372">
        <f>IF('Datos de Proyecto'!N22=0,0,+IF('Datos de Proyecto'!$D$33&gt;0,'Sistema Dos filas'!$E$38,0))</f>
        <v>0</v>
      </c>
      <c r="F30" s="372">
        <f>IF('Datos de Proyecto'!$M$19="Vertical",(('Datos de Proyecto'!$D$25*0.9)+'Datos de Proyecto'!$D$25),('Datos de Proyecto'!$D$26*0.9)+'Datos de Proyecto'!$D$26)</f>
        <v>4.5296000000000003</v>
      </c>
      <c r="G30" s="372">
        <f>IF('Datos de Proyecto'!N22=0,0,(IF('Datos de Proyecto'!$M$19="Vertical",('Datos de Proyecto'!N22*'Datos de Proyecto'!$D$26),('Datos de Proyecto'!N22*'Datos de Proyecto'!$D$25))+((P30+Q30)/4*0.0127)+0.1))</f>
        <v>0</v>
      </c>
      <c r="H30" s="372">
        <f>IF('Sistema Dos filas'!$E$35&gt;0,'Formula de apoyo'!$V$6*'Sistema Dos filas'!$E$31*1/3+'Sistema Dos filas'!$E$35/COS('Sistema Dos filas'!$E$41*PI()/180),'Formula de apoyo'!$V$6*'Sistema Dos filas'!$E$31*1/3)</f>
        <v>0</v>
      </c>
      <c r="I30" s="372">
        <f>IF('Sistema Dos filas'!$E$35&gt;0,'Formula de apoyo'!$V$6*'Sistema Dos filas'!$E$31*2/3+'Sistema Dos filas'!$E$35/COS('Sistema Dos filas'!$E$41*PI()/180),'Formula de apoyo'!$V$6*'Sistema Dos filas'!$E$31*2/3)</f>
        <v>0</v>
      </c>
      <c r="J30" s="372">
        <f>IF('Sistema Dos filas'!$E$35&gt;0,'Formula de apoyo'!$V$6*'Sistema Dos filas'!$E$31+'Sistema Dos filas'!$E$35/COS('Sistema Dos filas'!$E$41*PI()/180),'Formula de apoyo'!$V$6*'Sistema Dos filas'!$E$31)</f>
        <v>0</v>
      </c>
      <c r="K30" s="371">
        <f>IF('Datos de Proyecto'!M22&lt;&gt;0,VLOOKUP('Datos de Proyecto'!N22,'Calculo de Span'!$M$8:$W$27,10,FALSE),0)</f>
        <v>0</v>
      </c>
      <c r="L30" s="371">
        <f t="shared" ref="L30:L48" si="4">+K30*4</f>
        <v>0</v>
      </c>
      <c r="M30" s="371">
        <f>IF('Datos de Proyecto'!$D$33&gt;0,ROUNDUP((A30*E30+B30*C30+B30*D30+F30*K30+G30*4+H30*K30+I30*K30+J30*K30+'Datos de Proyecto'!$D$33*K30)/'Datos de Proyecto'!$D$37,0),ROUNDUP((B30*C30+F30*K30+G30*4+H30*K30+I30*K30+J30*K30)/'Datos de Proyecto'!$D$37,0))</f>
        <v>0</v>
      </c>
      <c r="N30" s="371">
        <f t="shared" ref="N30:N48" si="5">+L30</f>
        <v>0</v>
      </c>
      <c r="O30" s="371">
        <f>IF(K30=0,0,IF('Datos de Proyecto'!$D$33&gt;0,(A30+B30+B30)*2+K30*4,K30*3+B30*2))</f>
        <v>0</v>
      </c>
      <c r="P30" s="371">
        <f>IF('Datos de Proyecto'!M22=0,0,4)*2</f>
        <v>0</v>
      </c>
      <c r="Q30" s="371">
        <f>IF('Datos de Proyecto'!M22=0,0,(('Datos de Proyecto'!N22-1)*4))</f>
        <v>0</v>
      </c>
      <c r="R30" s="371">
        <f>IF('Datos de Proyecto'!M22=0,0,1)</f>
        <v>0</v>
      </c>
      <c r="S30" s="371">
        <f>ROUNDDOWN(G30/'Datos de Proyecto'!$D$37,0)*4</f>
        <v>0</v>
      </c>
      <c r="T30" s="371">
        <f t="shared" ref="T30:T49" si="6">+P30</f>
        <v>0</v>
      </c>
    </row>
    <row r="31" spans="1:20">
      <c r="A31" s="375">
        <f>IF('Datos de Proyecto'!$D$33&gt;0,K31,0)</f>
        <v>0</v>
      </c>
      <c r="B31" s="375">
        <f t="shared" si="3"/>
        <v>0</v>
      </c>
      <c r="C31" s="309">
        <f>IF('Datos de Proyecto'!N23=0,0,SQRT(('Calculo de Span'!U10-0.05)^2+(J31-0.2)^2)*0.95)</f>
        <v>0</v>
      </c>
      <c r="D31" s="309">
        <f>IF('Datos de Proyecto'!N23=0,0,IF('Datos de Proyecto'!$D$33&gt;0,+SQRT(('Calculo de Span'!U10-0.05)^2+('Sistema Dos filas'!$E$35-0.15)^2)*0.97,0))</f>
        <v>0</v>
      </c>
      <c r="E31" s="309">
        <f>IF('Datos de Proyecto'!N23=0,0,+IF('Datos de Proyecto'!$D$33&gt;0,'Sistema Dos filas'!$E$38,0))</f>
        <v>0</v>
      </c>
      <c r="F31" s="309">
        <f>IF('Datos de Proyecto'!$M$19="Vertical",(('Datos de Proyecto'!$D$25*0.9)+'Datos de Proyecto'!$D$25),('Datos de Proyecto'!$D$26*0.9)+'Datos de Proyecto'!$D$26)</f>
        <v>4.5296000000000003</v>
      </c>
      <c r="G31" s="309">
        <f>IF('Datos de Proyecto'!N23=0,0,(IF('Datos de Proyecto'!$M$19="Vertical",('Datos de Proyecto'!N23*'Datos de Proyecto'!$D$26),('Datos de Proyecto'!N23*'Datos de Proyecto'!$D$25))+((P31+Q31)/4*0.0127)+0.1))</f>
        <v>0</v>
      </c>
      <c r="H31" s="309">
        <f>IF('Sistema Dos filas'!$E$35&gt;0,'Formula de apoyo'!$V$6*'Sistema Dos filas'!$E$31*1/3+'Sistema Dos filas'!$E$35/COS('Sistema Dos filas'!$E$41*PI()/180),'Formula de apoyo'!$V$6*'Sistema Dos filas'!$E$31*1/3)</f>
        <v>0</v>
      </c>
      <c r="I31" s="309">
        <f>IF('Sistema Dos filas'!$E$35&gt;0,'Formula de apoyo'!$V$6*'Sistema Dos filas'!$E$31*2/3+'Sistema Dos filas'!$E$35/COS('Sistema Dos filas'!$E$41*PI()/180),'Formula de apoyo'!$V$6*'Sistema Dos filas'!$E$31*2/3)</f>
        <v>0</v>
      </c>
      <c r="J31" s="309">
        <f>IF('Sistema Dos filas'!$E$35&gt;0,'Formula de apoyo'!$V$6*'Sistema Dos filas'!$E$31+'Sistema Dos filas'!$E$35/COS('Sistema Dos filas'!$E$41*PI()/180),'Formula de apoyo'!$V$6*'Sistema Dos filas'!$E$31)</f>
        <v>0</v>
      </c>
      <c r="K31" s="301">
        <f>IF('Datos de Proyecto'!M23&lt;&gt;0,VLOOKUP('Datos de Proyecto'!N23,'Calculo de Span'!$M$8:$W$27,10,FALSE),0)</f>
        <v>0</v>
      </c>
      <c r="L31" s="301">
        <f t="shared" si="4"/>
        <v>0</v>
      </c>
      <c r="M31" s="301">
        <f>IF('Datos de Proyecto'!$D$33&gt;0,ROUNDUP((A31*E31+B31*C31+B31*D31+F31*K31+G31*4+H31*K31+I31*K31+J31*K31+'Datos de Proyecto'!$D$33*K31)/'Datos de Proyecto'!$D$37,0),ROUNDUP((B31*C31+F31*K31+G31*4+H31*K31+I31*K31+J31*K31)/'Datos de Proyecto'!$D$37,0))</f>
        <v>0</v>
      </c>
      <c r="N31" s="301">
        <f t="shared" si="5"/>
        <v>0</v>
      </c>
      <c r="O31" s="301">
        <f>IF(K31=0,0,IF('Datos de Proyecto'!$D$33&gt;0,(A31+B31+B31)*2+K31*4,K31*3+B31*2))</f>
        <v>0</v>
      </c>
      <c r="P31" s="301">
        <f>IF('Datos de Proyecto'!M23=0,0,4)*2</f>
        <v>0</v>
      </c>
      <c r="Q31" s="301">
        <f>IF('Datos de Proyecto'!M23=0,0,(('Datos de Proyecto'!N23-1)*4))</f>
        <v>0</v>
      </c>
      <c r="R31" s="301">
        <f>IF('Datos de Proyecto'!M23=0,0,1)</f>
        <v>0</v>
      </c>
      <c r="S31" s="301">
        <f>ROUNDDOWN(G31/'Datos de Proyecto'!$D$37,0)*4</f>
        <v>0</v>
      </c>
      <c r="T31" s="301">
        <f t="shared" si="6"/>
        <v>0</v>
      </c>
    </row>
    <row r="32" spans="1:20">
      <c r="A32" s="376">
        <f>IF('Datos de Proyecto'!$D$33&gt;0,K32,0)</f>
        <v>0</v>
      </c>
      <c r="B32" s="376">
        <f t="shared" si="3"/>
        <v>0</v>
      </c>
      <c r="C32" s="372">
        <f>IF('Datos de Proyecto'!N24=0,0,SQRT(('Calculo de Span'!U11-0.05)^2+(J32-0.2)^2)*0.95)</f>
        <v>0</v>
      </c>
      <c r="D32" s="372">
        <f>IF('Datos de Proyecto'!N24=0,0,IF('Datos de Proyecto'!$D$33&gt;0,+SQRT(('Calculo de Span'!U11-0.05)^2+('Sistema Dos filas'!$E$35-0.15)^2)*0.97,0))</f>
        <v>0</v>
      </c>
      <c r="E32" s="372">
        <f>IF('Datos de Proyecto'!N24=0,0,+IF('Datos de Proyecto'!$D$33&gt;0,'Sistema Dos filas'!$E$38,0))</f>
        <v>0</v>
      </c>
      <c r="F32" s="372">
        <f>IF('Datos de Proyecto'!$M$19="Vertical",(('Datos de Proyecto'!$D$25*0.9)+'Datos de Proyecto'!$D$25),('Datos de Proyecto'!$D$26*0.9)+'Datos de Proyecto'!$D$26)</f>
        <v>4.5296000000000003</v>
      </c>
      <c r="G32" s="372">
        <f>IF('Datos de Proyecto'!N24=0,0,(IF('Datos de Proyecto'!$M$19="Vertical",('Datos de Proyecto'!N24*'Datos de Proyecto'!$D$26),('Datos de Proyecto'!N24*'Datos de Proyecto'!$D$25))+((P32+Q32)/4*0.0127)+0.1))</f>
        <v>0</v>
      </c>
      <c r="H32" s="372">
        <f>IF('Sistema Dos filas'!$E$35&gt;0,'Formula de apoyo'!$V$6*'Sistema Dos filas'!$E$31*1/3+'Sistema Dos filas'!$E$35/COS('Sistema Dos filas'!$E$41*PI()/180),'Formula de apoyo'!$V$6*'Sistema Dos filas'!$E$31*1/3)</f>
        <v>0</v>
      </c>
      <c r="I32" s="372">
        <f>IF('Sistema Dos filas'!$E$35&gt;0,'Formula de apoyo'!$V$6*'Sistema Dos filas'!$E$31*2/3+'Sistema Dos filas'!$E$35/COS('Sistema Dos filas'!$E$41*PI()/180),'Formula de apoyo'!$V$6*'Sistema Dos filas'!$E$31*2/3)</f>
        <v>0</v>
      </c>
      <c r="J32" s="372">
        <f>IF('Sistema Dos filas'!$E$35&gt;0,'Formula de apoyo'!$V$6*'Sistema Dos filas'!$E$31+'Sistema Dos filas'!$E$35/COS('Sistema Dos filas'!$E$41*PI()/180),'Formula de apoyo'!$V$6*'Sistema Dos filas'!$E$31)</f>
        <v>0</v>
      </c>
      <c r="K32" s="371">
        <f>IF('Datos de Proyecto'!M24&lt;&gt;0,VLOOKUP('Datos de Proyecto'!N24,'Calculo de Span'!$M$8:$W$27,10,FALSE),0)</f>
        <v>0</v>
      </c>
      <c r="L32" s="371">
        <f t="shared" si="4"/>
        <v>0</v>
      </c>
      <c r="M32" s="371">
        <f>IF('Datos de Proyecto'!$D$33&gt;0,ROUNDUP((A32*E32+B32*C32+B32*D32+F32*K32+G32*4+H32*K32+I32*K32+J32*K32+'Datos de Proyecto'!$D$33*K32)/'Datos de Proyecto'!$D$37,0),ROUNDUP((B32*C32+F32*K32+G32*4+H32*K32+I32*K32+J32*K32)/'Datos de Proyecto'!$D$37,0))</f>
        <v>0</v>
      </c>
      <c r="N32" s="371">
        <f t="shared" si="5"/>
        <v>0</v>
      </c>
      <c r="O32" s="371">
        <f>IF(K32=0,0,IF('Datos de Proyecto'!$D$33&gt;0,(A32+B32+B32)*2+K32*4,K32*3+B32*2))</f>
        <v>0</v>
      </c>
      <c r="P32" s="371">
        <f>IF('Datos de Proyecto'!M24=0,0,4)*2</f>
        <v>0</v>
      </c>
      <c r="Q32" s="371">
        <f>IF('Datos de Proyecto'!M24=0,0,(('Datos de Proyecto'!N24-1)*4))</f>
        <v>0</v>
      </c>
      <c r="R32" s="371">
        <f>IF('Datos de Proyecto'!M24=0,0,1)</f>
        <v>0</v>
      </c>
      <c r="S32" s="371">
        <f>ROUNDDOWN(G32/'Datos de Proyecto'!$D$37,0)*4</f>
        <v>0</v>
      </c>
      <c r="T32" s="371">
        <f t="shared" si="6"/>
        <v>0</v>
      </c>
    </row>
    <row r="33" spans="1:20">
      <c r="A33" s="375">
        <f>IF('Datos de Proyecto'!$D$33&gt;0,K33,0)</f>
        <v>0</v>
      </c>
      <c r="B33" s="375">
        <f t="shared" si="3"/>
        <v>0</v>
      </c>
      <c r="C33" s="309">
        <f>IF('Datos de Proyecto'!N25=0,0,SQRT(('Calculo de Span'!U12-0.05)^2+(J33-0.2)^2)*0.95)</f>
        <v>0</v>
      </c>
      <c r="D33" s="309">
        <f>IF('Datos de Proyecto'!N25=0,0,IF('Datos de Proyecto'!$D$33&gt;0,+SQRT(('Calculo de Span'!U12-0.05)^2+('Sistema Dos filas'!$E$35-0.15)^2)*0.97,0))</f>
        <v>0</v>
      </c>
      <c r="E33" s="309">
        <f>IF('Datos de Proyecto'!N25=0,0,+IF('Datos de Proyecto'!$D$33&gt;0,'Sistema Dos filas'!$E$38,0))</f>
        <v>0</v>
      </c>
      <c r="F33" s="309">
        <f>IF('Datos de Proyecto'!$M$19="Vertical",(('Datos de Proyecto'!$D$25*0.9)+'Datos de Proyecto'!$D$25),('Datos de Proyecto'!$D$26*0.9)+'Datos de Proyecto'!$D$26)</f>
        <v>4.5296000000000003</v>
      </c>
      <c r="G33" s="309">
        <f>IF('Datos de Proyecto'!N25=0,0,(IF('Datos de Proyecto'!$M$19="Vertical",('Datos de Proyecto'!N25*'Datos de Proyecto'!$D$26),('Datos de Proyecto'!N25*'Datos de Proyecto'!$D$25))+((P33+Q33)/4*0.0127)+0.1))</f>
        <v>0</v>
      </c>
      <c r="H33" s="309">
        <f>IF('Sistema Dos filas'!$E$35&gt;0,'Formula de apoyo'!$V$6*'Sistema Dos filas'!$E$31*1/3+'Sistema Dos filas'!$E$35/COS('Sistema Dos filas'!$E$41*PI()/180),'Formula de apoyo'!$V$6*'Sistema Dos filas'!$E$31*1/3)</f>
        <v>0</v>
      </c>
      <c r="I33" s="309">
        <f>IF('Sistema Dos filas'!$E$35&gt;0,'Formula de apoyo'!$V$6*'Sistema Dos filas'!$E$31*2/3+'Sistema Dos filas'!$E$35/COS('Sistema Dos filas'!$E$41*PI()/180),'Formula de apoyo'!$V$6*'Sistema Dos filas'!$E$31*2/3)</f>
        <v>0</v>
      </c>
      <c r="J33" s="309">
        <f>IF('Sistema Dos filas'!$E$35&gt;0,'Formula de apoyo'!$V$6*'Sistema Dos filas'!$E$31+'Sistema Dos filas'!$E$35/COS('Sistema Dos filas'!$E$41*PI()/180),'Formula de apoyo'!$V$6*'Sistema Dos filas'!$E$31)</f>
        <v>0</v>
      </c>
      <c r="K33" s="301">
        <f>IF('Datos de Proyecto'!M25&lt;&gt;0,VLOOKUP('Datos de Proyecto'!N25,'Calculo de Span'!$M$8:$W$27,10,FALSE),0)</f>
        <v>0</v>
      </c>
      <c r="L33" s="301">
        <f t="shared" si="4"/>
        <v>0</v>
      </c>
      <c r="M33" s="301">
        <f>IF('Datos de Proyecto'!$D$33&gt;0,ROUNDUP((A33*E33+B33*C33+B33*D33+F33*K33+G33*4+H33*K33+I33*K33+J33*K33+'Datos de Proyecto'!$D$33*K33)/'Datos de Proyecto'!$D$37,0),ROUNDUP((B33*C33+F33*K33+G33*4+H33*K33+I33*K33+J33*K33)/'Datos de Proyecto'!$D$37,0))</f>
        <v>0</v>
      </c>
      <c r="N33" s="301">
        <f t="shared" si="5"/>
        <v>0</v>
      </c>
      <c r="O33" s="301">
        <f>IF(K33=0,0,IF('Datos de Proyecto'!$D$33&gt;0,(A33+B33+B33)*2+K33*4,K33*3+B33*2))</f>
        <v>0</v>
      </c>
      <c r="P33" s="301">
        <f>IF('Datos de Proyecto'!M25=0,0,4)*2</f>
        <v>0</v>
      </c>
      <c r="Q33" s="301">
        <f>IF('Datos de Proyecto'!M25=0,0,(('Datos de Proyecto'!N25-1)*4))</f>
        <v>0</v>
      </c>
      <c r="R33" s="301">
        <f>IF('Datos de Proyecto'!M25=0,0,1)</f>
        <v>0</v>
      </c>
      <c r="S33" s="301">
        <f>ROUNDDOWN(G33/'Datos de Proyecto'!$D$37,0)*4</f>
        <v>0</v>
      </c>
      <c r="T33" s="301">
        <f t="shared" si="6"/>
        <v>0</v>
      </c>
    </row>
    <row r="34" spans="1:20">
      <c r="A34" s="376">
        <f>IF('Datos de Proyecto'!$D$33&gt;0,K34,0)</f>
        <v>0</v>
      </c>
      <c r="B34" s="376">
        <f t="shared" si="3"/>
        <v>0</v>
      </c>
      <c r="C34" s="372">
        <f>IF('Datos de Proyecto'!N26=0,0,SQRT(('Calculo de Span'!U13-0.05)^2+(J34-0.2)^2)*0.95)</f>
        <v>0</v>
      </c>
      <c r="D34" s="372">
        <f>IF('Datos de Proyecto'!N26=0,0,IF('Datos de Proyecto'!$D$33&gt;0,+SQRT(('Calculo de Span'!U13-0.05)^2+('Sistema Dos filas'!$E$35-0.15)^2)*0.97,0))</f>
        <v>0</v>
      </c>
      <c r="E34" s="372">
        <f>IF('Datos de Proyecto'!N26=0,0,+IF('Datos de Proyecto'!$D$33&gt;0,'Sistema Dos filas'!$E$38,0))</f>
        <v>0</v>
      </c>
      <c r="F34" s="372">
        <f>IF('Datos de Proyecto'!$M$19="Vertical",(('Datos de Proyecto'!$D$25*0.9)+'Datos de Proyecto'!$D$25),('Datos de Proyecto'!$D$26*0.9)+'Datos de Proyecto'!$D$26)</f>
        <v>4.5296000000000003</v>
      </c>
      <c r="G34" s="372">
        <f>IF('Datos de Proyecto'!N26=0,0,(IF('Datos de Proyecto'!$M$19="Vertical",('Datos de Proyecto'!N26*'Datos de Proyecto'!$D$26),('Datos de Proyecto'!N26*'Datos de Proyecto'!$D$25))+((P34+Q34)/4*0.0127)+0.1))</f>
        <v>0</v>
      </c>
      <c r="H34" s="372">
        <f>IF('Sistema Dos filas'!$E$35&gt;0,'Formula de apoyo'!$V$6*'Sistema Dos filas'!$E$31*1/3+'Sistema Dos filas'!$E$35/COS('Sistema Dos filas'!$E$41*PI()/180),'Formula de apoyo'!$V$6*'Sistema Dos filas'!$E$31*1/3)</f>
        <v>0</v>
      </c>
      <c r="I34" s="372">
        <f>IF('Sistema Dos filas'!$E$35&gt;0,'Formula de apoyo'!$V$6*'Sistema Dos filas'!$E$31*2/3+'Sistema Dos filas'!$E$35/COS('Sistema Dos filas'!$E$41*PI()/180),'Formula de apoyo'!$V$6*'Sistema Dos filas'!$E$31*2/3)</f>
        <v>0</v>
      </c>
      <c r="J34" s="372">
        <f>IF('Sistema Dos filas'!$E$35&gt;0,'Formula de apoyo'!$V$6*'Sistema Dos filas'!$E$31+'Sistema Dos filas'!$E$35/COS('Sistema Dos filas'!$E$41*PI()/180),'Formula de apoyo'!$V$6*'Sistema Dos filas'!$E$31)</f>
        <v>0</v>
      </c>
      <c r="K34" s="371">
        <f>IF('Datos de Proyecto'!M26&lt;&gt;0,VLOOKUP('Datos de Proyecto'!N26,'Calculo de Span'!$M$8:$W$27,10,FALSE),0)</f>
        <v>0</v>
      </c>
      <c r="L34" s="371">
        <f t="shared" si="4"/>
        <v>0</v>
      </c>
      <c r="M34" s="371">
        <f>IF('Datos de Proyecto'!$D$33&gt;0,ROUNDUP((A34*E34+B34*C34+B34*D34+F34*K34+G34*4+H34*K34+I34*K34+J34*K34+'Datos de Proyecto'!$D$33*K34)/'Datos de Proyecto'!$D$37,0),ROUNDUP((B34*C34+F34*K34+G34*4+H34*K34+I34*K34+J34*K34)/'Datos de Proyecto'!$D$37,0))</f>
        <v>0</v>
      </c>
      <c r="N34" s="371">
        <f t="shared" si="5"/>
        <v>0</v>
      </c>
      <c r="O34" s="371">
        <f>IF(K34=0,0,IF('Datos de Proyecto'!$D$33&gt;0,(A34+B34+B34)*2+K34*4,K34*3+B34*2))</f>
        <v>0</v>
      </c>
      <c r="P34" s="371">
        <f>IF('Datos de Proyecto'!M26=0,0,4)*2</f>
        <v>0</v>
      </c>
      <c r="Q34" s="371">
        <f>IF('Datos de Proyecto'!M26=0,0,(('Datos de Proyecto'!N26-1)*4))</f>
        <v>0</v>
      </c>
      <c r="R34" s="371">
        <f>IF('Datos de Proyecto'!M26=0,0,1)</f>
        <v>0</v>
      </c>
      <c r="S34" s="371">
        <f>ROUNDDOWN(G34/'Datos de Proyecto'!$D$37,0)*4</f>
        <v>0</v>
      </c>
      <c r="T34" s="371">
        <f t="shared" si="6"/>
        <v>0</v>
      </c>
    </row>
    <row r="35" spans="1:20">
      <c r="A35" s="375">
        <f>IF('Datos de Proyecto'!$D$33&gt;0,K35,0)</f>
        <v>0</v>
      </c>
      <c r="B35" s="375">
        <f t="shared" si="3"/>
        <v>0</v>
      </c>
      <c r="C35" s="309">
        <f>IF('Datos de Proyecto'!N27=0,0,SQRT(('Calculo de Span'!U14-0.05)^2+(J35-0.2)^2)*0.95)</f>
        <v>0</v>
      </c>
      <c r="D35" s="309">
        <f>IF('Datos de Proyecto'!N27=0,0,IF('Datos de Proyecto'!$D$33&gt;0,+SQRT(('Calculo de Span'!U14-0.05)^2+('Sistema Dos filas'!$E$35-0.15)^2)*0.97,0))</f>
        <v>0</v>
      </c>
      <c r="E35" s="309">
        <f>IF('Datos de Proyecto'!N27=0,0,+IF('Datos de Proyecto'!$D$33&gt;0,'Sistema Dos filas'!$E$38,0))</f>
        <v>0</v>
      </c>
      <c r="F35" s="309">
        <f>IF('Datos de Proyecto'!$M$19="Vertical",(('Datos de Proyecto'!$D$25*0.9)+'Datos de Proyecto'!$D$25),('Datos de Proyecto'!$D$26*0.9)+'Datos de Proyecto'!$D$26)</f>
        <v>4.5296000000000003</v>
      </c>
      <c r="G35" s="309">
        <f>IF('Datos de Proyecto'!N27=0,0,(IF('Datos de Proyecto'!$M$19="Vertical",('Datos de Proyecto'!N27*'Datos de Proyecto'!$D$26),('Datos de Proyecto'!N27*'Datos de Proyecto'!$D$25))+((P35+Q35)/4*0.0127)+0.1))</f>
        <v>0</v>
      </c>
      <c r="H35" s="309">
        <f>IF('Sistema Dos filas'!$E$35&gt;0,'Formula de apoyo'!$V$6*'Sistema Dos filas'!$E$31*1/3+'Sistema Dos filas'!$E$35/COS('Sistema Dos filas'!$E$41*PI()/180),'Formula de apoyo'!$V$6*'Sistema Dos filas'!$E$31*1/3)</f>
        <v>0</v>
      </c>
      <c r="I35" s="309">
        <f>IF('Sistema Dos filas'!$E$35&gt;0,'Formula de apoyo'!$V$6*'Sistema Dos filas'!$E$31*2/3+'Sistema Dos filas'!$E$35/COS('Sistema Dos filas'!$E$41*PI()/180),'Formula de apoyo'!$V$6*'Sistema Dos filas'!$E$31*2/3)</f>
        <v>0</v>
      </c>
      <c r="J35" s="309">
        <f>IF('Sistema Dos filas'!$E$35&gt;0,'Formula de apoyo'!$V$6*'Sistema Dos filas'!$E$31+'Sistema Dos filas'!$E$35/COS('Sistema Dos filas'!$E$41*PI()/180),'Formula de apoyo'!$V$6*'Sistema Dos filas'!$E$31)</f>
        <v>0</v>
      </c>
      <c r="K35" s="301">
        <f>IF('Datos de Proyecto'!M27&lt;&gt;0,VLOOKUP('Datos de Proyecto'!N27,'Calculo de Span'!$M$8:$W$27,10,FALSE),0)</f>
        <v>0</v>
      </c>
      <c r="L35" s="301">
        <f t="shared" si="4"/>
        <v>0</v>
      </c>
      <c r="M35" s="301">
        <f>IF('Datos de Proyecto'!$D$33&gt;0,ROUNDUP((A35*E35+B35*C35+B35*D35+F35*K35+G35*4+H35*K35+I35*K35+J35*K35+'Datos de Proyecto'!$D$33*K35)/'Datos de Proyecto'!$D$37,0),ROUNDUP((B35*C35+F35*K35+G35*4+H35*K35+I35*K35+J35*K35)/'Datos de Proyecto'!$D$37,0))</f>
        <v>0</v>
      </c>
      <c r="N35" s="301">
        <f t="shared" si="5"/>
        <v>0</v>
      </c>
      <c r="O35" s="301">
        <f>IF(K35=0,0,IF('Datos de Proyecto'!$D$33&gt;0,(A35+B35+B35)*2+K35*4,K35*3+B35*2))</f>
        <v>0</v>
      </c>
      <c r="P35" s="301">
        <f>IF('Datos de Proyecto'!M27=0,0,4)*2</f>
        <v>0</v>
      </c>
      <c r="Q35" s="301">
        <f>IF('Datos de Proyecto'!M27=0,0,(('Datos de Proyecto'!N27-1)*4))</f>
        <v>0</v>
      </c>
      <c r="R35" s="301">
        <f>IF('Datos de Proyecto'!M27=0,0,1)</f>
        <v>0</v>
      </c>
      <c r="S35" s="301">
        <f>ROUNDDOWN(G35/'Datos de Proyecto'!$D$37,0)*4</f>
        <v>0</v>
      </c>
      <c r="T35" s="301">
        <f t="shared" si="6"/>
        <v>0</v>
      </c>
    </row>
    <row r="36" spans="1:20">
      <c r="A36" s="376">
        <f>IF('Datos de Proyecto'!$D$33&gt;0,K36,0)</f>
        <v>0</v>
      </c>
      <c r="B36" s="376">
        <f t="shared" si="3"/>
        <v>0</v>
      </c>
      <c r="C36" s="372">
        <f>IF('Datos de Proyecto'!N28=0,0,SQRT(('Calculo de Span'!U15-0.05)^2+(J36-0.2)^2)*0.95)</f>
        <v>0</v>
      </c>
      <c r="D36" s="372">
        <f>IF('Datos de Proyecto'!N28=0,0,IF('Datos de Proyecto'!$D$33&gt;0,+SQRT(('Calculo de Span'!U15-0.05)^2+('Sistema Dos filas'!$E$35-0.15)^2)*0.97,0))</f>
        <v>0</v>
      </c>
      <c r="E36" s="372">
        <f>IF('Datos de Proyecto'!N28=0,0,+IF('Datos de Proyecto'!$D$33&gt;0,'Sistema Dos filas'!$E$38,0))</f>
        <v>0</v>
      </c>
      <c r="F36" s="372">
        <f>IF('Datos de Proyecto'!$M$19="Vertical",(('Datos de Proyecto'!$D$25*0.9)+'Datos de Proyecto'!$D$25),('Datos de Proyecto'!$D$26*0.9)+'Datos de Proyecto'!$D$26)</f>
        <v>4.5296000000000003</v>
      </c>
      <c r="G36" s="372">
        <f>IF('Datos de Proyecto'!N28=0,0,(IF('Datos de Proyecto'!$M$19="Vertical",('Datos de Proyecto'!N28*'Datos de Proyecto'!$D$26),('Datos de Proyecto'!N28*'Datos de Proyecto'!$D$25))+((P36+Q36)/4*0.0127)+0.1))</f>
        <v>0</v>
      </c>
      <c r="H36" s="372">
        <f>IF('Sistema Dos filas'!$E$35&gt;0,'Formula de apoyo'!$V$6*'Sistema Dos filas'!$E$31*1/3+'Sistema Dos filas'!$E$35/COS('Sistema Dos filas'!$E$41*PI()/180),'Formula de apoyo'!$V$6*'Sistema Dos filas'!$E$31*1/3)</f>
        <v>0</v>
      </c>
      <c r="I36" s="372">
        <f>IF('Sistema Dos filas'!$E$35&gt;0,'Formula de apoyo'!$V$6*'Sistema Dos filas'!$E$31*2/3+'Sistema Dos filas'!$E$35/COS('Sistema Dos filas'!$E$41*PI()/180),'Formula de apoyo'!$V$6*'Sistema Dos filas'!$E$31*2/3)</f>
        <v>0</v>
      </c>
      <c r="J36" s="372">
        <f>IF('Sistema Dos filas'!$E$35&gt;0,'Formula de apoyo'!$V$6*'Sistema Dos filas'!$E$31+'Sistema Dos filas'!$E$35/COS('Sistema Dos filas'!$E$41*PI()/180),'Formula de apoyo'!$V$6*'Sistema Dos filas'!$E$31)</f>
        <v>0</v>
      </c>
      <c r="K36" s="371">
        <f>IF('Datos de Proyecto'!M28&lt;&gt;0,VLOOKUP('Datos de Proyecto'!N28,'Calculo de Span'!$M$8:$W$27,10,FALSE),0)</f>
        <v>0</v>
      </c>
      <c r="L36" s="371">
        <f t="shared" si="4"/>
        <v>0</v>
      </c>
      <c r="M36" s="371">
        <f>IF('Datos de Proyecto'!$D$33&gt;0,ROUNDUP((A36*E36+B36*C36+B36*D36+F36*K36+G36*4+H36*K36+I36*K36+J36*K36+'Datos de Proyecto'!$D$33*K36)/'Datos de Proyecto'!$D$37,0),ROUNDUP((B36*C36+F36*K36+G36*4+H36*K36+I36*K36+J36*K36)/'Datos de Proyecto'!$D$37,0))</f>
        <v>0</v>
      </c>
      <c r="N36" s="371">
        <f t="shared" si="5"/>
        <v>0</v>
      </c>
      <c r="O36" s="371">
        <f>IF(K36=0,0,IF('Datos de Proyecto'!$D$33&gt;0,(A36+B36+B36)*2+K36*4,K36*3+B36*2))</f>
        <v>0</v>
      </c>
      <c r="P36" s="371">
        <f>IF('Datos de Proyecto'!M28=0,0,4)*2</f>
        <v>0</v>
      </c>
      <c r="Q36" s="371">
        <f>IF('Datos de Proyecto'!M28=0,0,(('Datos de Proyecto'!N28-1)*4))</f>
        <v>0</v>
      </c>
      <c r="R36" s="371">
        <f>IF('Datos de Proyecto'!M28=0,0,1)</f>
        <v>0</v>
      </c>
      <c r="S36" s="371">
        <f>ROUNDDOWN(G36/'Datos de Proyecto'!$D$37,0)*4</f>
        <v>0</v>
      </c>
      <c r="T36" s="371">
        <f t="shared" si="6"/>
        <v>0</v>
      </c>
    </row>
    <row r="37" spans="1:20">
      <c r="A37" s="375">
        <f>IF('Datos de Proyecto'!$D$33&gt;0,K37,0)</f>
        <v>0</v>
      </c>
      <c r="B37" s="375">
        <f t="shared" si="3"/>
        <v>0</v>
      </c>
      <c r="C37" s="309">
        <f>IF('Datos de Proyecto'!N29=0,0,SQRT(('Calculo de Span'!U16-0.05)^2+(J37-0.2)^2)*0.95)</f>
        <v>0</v>
      </c>
      <c r="D37" s="309">
        <f>IF('Datos de Proyecto'!N29=0,0,IF('Datos de Proyecto'!$D$33&gt;0,+SQRT(('Calculo de Span'!U16-0.05)^2+('Sistema Dos filas'!$E$35-0.15)^2)*0.97,0))</f>
        <v>0</v>
      </c>
      <c r="E37" s="309">
        <f>IF('Datos de Proyecto'!N29=0,0,+IF('Datos de Proyecto'!$D$33&gt;0,'Sistema Dos filas'!$E$38,0))</f>
        <v>0</v>
      </c>
      <c r="F37" s="309">
        <f>IF('Datos de Proyecto'!$M$19="Vertical",(('Datos de Proyecto'!$D$25*0.9)+'Datos de Proyecto'!$D$25),('Datos de Proyecto'!$D$26*0.9)+'Datos de Proyecto'!$D$26)</f>
        <v>4.5296000000000003</v>
      </c>
      <c r="G37" s="309">
        <f>IF('Datos de Proyecto'!N29=0,0,(IF('Datos de Proyecto'!$M$19="Vertical",('Datos de Proyecto'!N29*'Datos de Proyecto'!$D$26),('Datos de Proyecto'!N29*'Datos de Proyecto'!$D$25))+((P37+Q37)/4*0.0127)+0.1))</f>
        <v>0</v>
      </c>
      <c r="H37" s="309">
        <f>IF('Sistema Dos filas'!$E$35&gt;0,'Formula de apoyo'!$V$6*'Sistema Dos filas'!$E$31*1/3+'Sistema Dos filas'!$E$35/COS('Sistema Dos filas'!$E$41*PI()/180),'Formula de apoyo'!$V$6*'Sistema Dos filas'!$E$31*1/3)</f>
        <v>0</v>
      </c>
      <c r="I37" s="309">
        <f>IF('Sistema Dos filas'!$E$35&gt;0,'Formula de apoyo'!$V$6*'Sistema Dos filas'!$E$31*2/3+'Sistema Dos filas'!$E$35/COS('Sistema Dos filas'!$E$41*PI()/180),'Formula de apoyo'!$V$6*'Sistema Dos filas'!$E$31*2/3)</f>
        <v>0</v>
      </c>
      <c r="J37" s="309">
        <f>IF('Sistema Dos filas'!$E$35&gt;0,'Formula de apoyo'!$V$6*'Sistema Dos filas'!$E$31+'Sistema Dos filas'!$E$35/COS('Sistema Dos filas'!$E$41*PI()/180),'Formula de apoyo'!$V$6*'Sistema Dos filas'!$E$31)</f>
        <v>0</v>
      </c>
      <c r="K37" s="301">
        <f>IF('Datos de Proyecto'!M29&lt;&gt;0,VLOOKUP('Datos de Proyecto'!N29,'Calculo de Span'!$M$8:$W$27,10,FALSE),0)</f>
        <v>0</v>
      </c>
      <c r="L37" s="301">
        <f t="shared" si="4"/>
        <v>0</v>
      </c>
      <c r="M37" s="301">
        <f>IF('Datos de Proyecto'!$D$33&gt;0,ROUNDUP((A37*E37+B37*C37+B37*D37+F37*K37+G37*4+H37*K37+I37*K37+J37*K37+'Datos de Proyecto'!$D$33*K37)/'Datos de Proyecto'!$D$37,0),ROUNDUP((B37*C37+F37*K37+G37*4+H37*K37+I37*K37+J37*K37)/'Datos de Proyecto'!$D$37,0))</f>
        <v>0</v>
      </c>
      <c r="N37" s="301">
        <f t="shared" si="5"/>
        <v>0</v>
      </c>
      <c r="O37" s="301">
        <f>IF(K37=0,0,IF('Datos de Proyecto'!$D$33&gt;0,(A37+B37+B37)*2+K37*4,K37*3+B37*2))</f>
        <v>0</v>
      </c>
      <c r="P37" s="301">
        <f>IF('Datos de Proyecto'!M29=0,0,4)*2</f>
        <v>0</v>
      </c>
      <c r="Q37" s="301">
        <f>IF('Datos de Proyecto'!M29=0,0,(('Datos de Proyecto'!N29-1)*4))</f>
        <v>0</v>
      </c>
      <c r="R37" s="301">
        <f>IF('Datos de Proyecto'!M29=0,0,1)</f>
        <v>0</v>
      </c>
      <c r="S37" s="301">
        <f>ROUNDDOWN(G37/'Datos de Proyecto'!$D$37,0)*4</f>
        <v>0</v>
      </c>
      <c r="T37" s="301">
        <f t="shared" si="6"/>
        <v>0</v>
      </c>
    </row>
    <row r="38" spans="1:20">
      <c r="A38" s="376">
        <f>IF('Datos de Proyecto'!$D$33&gt;0,K38,0)</f>
        <v>0</v>
      </c>
      <c r="B38" s="376">
        <f t="shared" si="3"/>
        <v>0</v>
      </c>
      <c r="C38" s="372">
        <f>IF('Datos de Proyecto'!N30=0,0,SQRT(('Calculo de Span'!U17-0.05)^2+(J38-0.2)^2)*0.95)</f>
        <v>0</v>
      </c>
      <c r="D38" s="372">
        <f>IF('Datos de Proyecto'!N30=0,0,IF('Datos de Proyecto'!$D$33&gt;0,+SQRT(('Calculo de Span'!U17-0.05)^2+('Sistema Dos filas'!$E$35-0.15)^2)*0.97,0))</f>
        <v>0</v>
      </c>
      <c r="E38" s="372">
        <f>IF('Datos de Proyecto'!N30=0,0,+IF('Datos de Proyecto'!$D$33&gt;0,'Sistema Dos filas'!$E$38,0))</f>
        <v>0</v>
      </c>
      <c r="F38" s="372">
        <f>IF('Datos de Proyecto'!$M$19="Vertical",(('Datos de Proyecto'!$D$25*0.9)+'Datos de Proyecto'!$D$25),('Datos de Proyecto'!$D$26*0.9)+'Datos de Proyecto'!$D$26)</f>
        <v>4.5296000000000003</v>
      </c>
      <c r="G38" s="372">
        <f>IF('Datos de Proyecto'!N30=0,0,(IF('Datos de Proyecto'!$M$19="Vertical",('Datos de Proyecto'!N30*'Datos de Proyecto'!$D$26),('Datos de Proyecto'!N30*'Datos de Proyecto'!$D$25))+((P38+Q38)/4*0.0127)+0.1))</f>
        <v>0</v>
      </c>
      <c r="H38" s="372">
        <f>IF('Sistema Dos filas'!$E$35&gt;0,'Formula de apoyo'!$V$6*'Sistema Dos filas'!$E$31*1/3+'Sistema Dos filas'!$E$35/COS('Sistema Dos filas'!$E$41*PI()/180),'Formula de apoyo'!$V$6*'Sistema Dos filas'!$E$31*1/3)</f>
        <v>0</v>
      </c>
      <c r="I38" s="372">
        <f>IF('Sistema Dos filas'!$E$35&gt;0,'Formula de apoyo'!$V$6*'Sistema Dos filas'!$E$31*2/3+'Sistema Dos filas'!$E$35/COS('Sistema Dos filas'!$E$41*PI()/180),'Formula de apoyo'!$V$6*'Sistema Dos filas'!$E$31*2/3)</f>
        <v>0</v>
      </c>
      <c r="J38" s="372">
        <f>IF('Sistema Dos filas'!$E$35&gt;0,'Formula de apoyo'!$V$6*'Sistema Dos filas'!$E$31+'Sistema Dos filas'!$E$35/COS('Sistema Dos filas'!$E$41*PI()/180),'Formula de apoyo'!$V$6*'Sistema Dos filas'!$E$31)</f>
        <v>0</v>
      </c>
      <c r="K38" s="371">
        <f>IF('Datos de Proyecto'!M30&lt;&gt;0,VLOOKUP('Datos de Proyecto'!N30,'Calculo de Span'!$M$8:$W$27,10,FALSE),0)</f>
        <v>0</v>
      </c>
      <c r="L38" s="371">
        <f t="shared" si="4"/>
        <v>0</v>
      </c>
      <c r="M38" s="371">
        <f>IF('Datos de Proyecto'!$D$33&gt;0,ROUNDUP((A38*E38+B38*C38+B38*D38+F38*K38+G38*4+H38*K38+I38*K38+J38*K38+'Datos de Proyecto'!$D$33*K38)/'Datos de Proyecto'!$D$37,0),ROUNDUP((B38*C38+F38*K38+G38*4+H38*K38+I38*K38+J38*K38)/'Datos de Proyecto'!$D$37,0))</f>
        <v>0</v>
      </c>
      <c r="N38" s="371">
        <f t="shared" si="5"/>
        <v>0</v>
      </c>
      <c r="O38" s="371">
        <f>IF(K38=0,0,IF('Datos de Proyecto'!$D$33&gt;0,(A38+B38+B38)*2+K38*4,K38*3+B38*2))</f>
        <v>0</v>
      </c>
      <c r="P38" s="371">
        <f>IF('Datos de Proyecto'!M30=0,0,4)*2</f>
        <v>0</v>
      </c>
      <c r="Q38" s="371">
        <f>IF('Datos de Proyecto'!M30=0,0,(('Datos de Proyecto'!N30-1)*4))</f>
        <v>0</v>
      </c>
      <c r="R38" s="371">
        <f>IF('Datos de Proyecto'!M30=0,0,1)</f>
        <v>0</v>
      </c>
      <c r="S38" s="371">
        <f>ROUNDDOWN(G38/'Datos de Proyecto'!$D$37,0)*4</f>
        <v>0</v>
      </c>
      <c r="T38" s="371">
        <f t="shared" si="6"/>
        <v>0</v>
      </c>
    </row>
    <row r="39" spans="1:20">
      <c r="A39" s="375">
        <f>IF('Datos de Proyecto'!$D$33&gt;0,K39,0)</f>
        <v>0</v>
      </c>
      <c r="B39" s="375">
        <f t="shared" si="3"/>
        <v>0</v>
      </c>
      <c r="C39" s="309">
        <f>IF('Datos de Proyecto'!N31=0,0,SQRT(('Calculo de Span'!U18-0.05)^2+(J39-0.2)^2)*0.95)</f>
        <v>0</v>
      </c>
      <c r="D39" s="309">
        <f>IF('Datos de Proyecto'!N31=0,0,IF('Datos de Proyecto'!$D$33&gt;0,+SQRT(('Calculo de Span'!U18-0.05)^2+('Sistema Dos filas'!$E$35-0.15)^2)*0.97,0))</f>
        <v>0</v>
      </c>
      <c r="E39" s="309">
        <f>IF('Datos de Proyecto'!N31=0,0,+IF('Datos de Proyecto'!$D$33&gt;0,'Sistema Dos filas'!$E$38,0))</f>
        <v>0</v>
      </c>
      <c r="F39" s="309">
        <f>IF('Datos de Proyecto'!$M$19="Vertical",(('Datos de Proyecto'!$D$25*0.9)+'Datos de Proyecto'!$D$25),('Datos de Proyecto'!$D$26*0.9)+'Datos de Proyecto'!$D$26)</f>
        <v>4.5296000000000003</v>
      </c>
      <c r="G39" s="309">
        <f>IF('Datos de Proyecto'!N31=0,0,(IF('Datos de Proyecto'!$M$19="Vertical",('Datos de Proyecto'!N31*'Datos de Proyecto'!$D$26),('Datos de Proyecto'!N31*'Datos de Proyecto'!$D$25))+((P39+Q39)/4*0.0127)+0.1))</f>
        <v>0</v>
      </c>
      <c r="H39" s="309">
        <f>IF('Sistema Dos filas'!$E$35&gt;0,'Formula de apoyo'!$V$6*'Sistema Dos filas'!$E$31*1/3+'Sistema Dos filas'!$E$35/COS('Sistema Dos filas'!$E$41*PI()/180),'Formula de apoyo'!$V$6*'Sistema Dos filas'!$E$31*1/3)</f>
        <v>0</v>
      </c>
      <c r="I39" s="309">
        <f>IF('Sistema Dos filas'!$E$35&gt;0,'Formula de apoyo'!$V$6*'Sistema Dos filas'!$E$31*2/3+'Sistema Dos filas'!$E$35/COS('Sistema Dos filas'!$E$41*PI()/180),'Formula de apoyo'!$V$6*'Sistema Dos filas'!$E$31*2/3)</f>
        <v>0</v>
      </c>
      <c r="J39" s="309">
        <f>IF('Sistema Dos filas'!$E$35&gt;0,'Formula de apoyo'!$V$6*'Sistema Dos filas'!$E$31+'Sistema Dos filas'!$E$35/COS('Sistema Dos filas'!$E$41*PI()/180),'Formula de apoyo'!$V$6*'Sistema Dos filas'!$E$31)</f>
        <v>0</v>
      </c>
      <c r="K39" s="301">
        <f>IF('Datos de Proyecto'!M31&lt;&gt;0,VLOOKUP('Datos de Proyecto'!N31,'Calculo de Span'!$M$8:$W$27,10,FALSE),0)</f>
        <v>0</v>
      </c>
      <c r="L39" s="301">
        <f t="shared" si="4"/>
        <v>0</v>
      </c>
      <c r="M39" s="301">
        <f>IF('Datos de Proyecto'!$D$33&gt;0,ROUNDUP((A39*E39+B39*C39+B39*D39+F39*K39+G39*4+H39*K39+I39*K39+J39*K39+'Datos de Proyecto'!$D$33*K39)/'Datos de Proyecto'!$D$37,0),ROUNDUP((B39*C39+F39*K39+G39*4+H39*K39+I39*K39+J39*K39)/'Datos de Proyecto'!$D$37,0))</f>
        <v>0</v>
      </c>
      <c r="N39" s="301">
        <f t="shared" si="5"/>
        <v>0</v>
      </c>
      <c r="O39" s="301">
        <f>IF(K39=0,0,IF('Datos de Proyecto'!$D$33&gt;0,(A39+B39+B39)*2+K39*4,K39*3+B39*2))</f>
        <v>0</v>
      </c>
      <c r="P39" s="301">
        <f>IF('Datos de Proyecto'!M31=0,0,4)*2</f>
        <v>0</v>
      </c>
      <c r="Q39" s="301">
        <f>IF('Datos de Proyecto'!M31=0,0,(('Datos de Proyecto'!N31-1)*4))</f>
        <v>0</v>
      </c>
      <c r="R39" s="301">
        <f>IF('Datos de Proyecto'!M31=0,0,1)</f>
        <v>0</v>
      </c>
      <c r="S39" s="301">
        <f>ROUNDDOWN(G39/'Datos de Proyecto'!$D$37,0)*4</f>
        <v>0</v>
      </c>
      <c r="T39" s="301">
        <f t="shared" si="6"/>
        <v>0</v>
      </c>
    </row>
    <row r="40" spans="1:20">
      <c r="A40" s="376">
        <f>IF('Datos de Proyecto'!$D$33&gt;0,K40,0)</f>
        <v>0</v>
      </c>
      <c r="B40" s="376">
        <f t="shared" si="3"/>
        <v>0</v>
      </c>
      <c r="C40" s="372">
        <f>IF('Datos de Proyecto'!N32=0,0,SQRT(('Calculo de Span'!U19-0.05)^2+(J40-0.2)^2)*0.95)</f>
        <v>0</v>
      </c>
      <c r="D40" s="372">
        <f>IF('Datos de Proyecto'!N32=0,0,IF('Datos de Proyecto'!$D$33&gt;0,+SQRT(('Calculo de Span'!U19-0.05)^2+('Sistema Dos filas'!$E$35-0.15)^2)*0.97,0))</f>
        <v>0</v>
      </c>
      <c r="E40" s="372">
        <f>IF('Datos de Proyecto'!N32=0,0,+IF('Datos de Proyecto'!$D$33&gt;0,'Sistema Dos filas'!$E$38,0))</f>
        <v>0</v>
      </c>
      <c r="F40" s="372">
        <f>IF('Datos de Proyecto'!$M$19="Vertical",(('Datos de Proyecto'!$D$25*0.9)+'Datos de Proyecto'!$D$25),('Datos de Proyecto'!$D$26*0.9)+'Datos de Proyecto'!$D$26)</f>
        <v>4.5296000000000003</v>
      </c>
      <c r="G40" s="372">
        <f>IF('Datos de Proyecto'!N32=0,0,(IF('Datos de Proyecto'!$M$19="Vertical",('Datos de Proyecto'!N32*'Datos de Proyecto'!$D$26),('Datos de Proyecto'!N32*'Datos de Proyecto'!$D$25))+((P40+Q40)/4*0.0127)+0.1))</f>
        <v>0</v>
      </c>
      <c r="H40" s="372">
        <f>IF('Sistema Dos filas'!$E$35&gt;0,'Formula de apoyo'!$V$6*'Sistema Dos filas'!$E$31*1/3+'Sistema Dos filas'!$E$35/COS('Sistema Dos filas'!$E$41*PI()/180),'Formula de apoyo'!$V$6*'Sistema Dos filas'!$E$31*1/3)</f>
        <v>0</v>
      </c>
      <c r="I40" s="372">
        <f>IF('Sistema Dos filas'!$E$35&gt;0,'Formula de apoyo'!$V$6*'Sistema Dos filas'!$E$31*2/3+'Sistema Dos filas'!$E$35/COS('Sistema Dos filas'!$E$41*PI()/180),'Formula de apoyo'!$V$6*'Sistema Dos filas'!$E$31*2/3)</f>
        <v>0</v>
      </c>
      <c r="J40" s="372">
        <f>IF('Sistema Dos filas'!$E$35&gt;0,'Formula de apoyo'!$V$6*'Sistema Dos filas'!$E$31+'Sistema Dos filas'!$E$35/COS('Sistema Dos filas'!$E$41*PI()/180),'Formula de apoyo'!$V$6*'Sistema Dos filas'!$E$31)</f>
        <v>0</v>
      </c>
      <c r="K40" s="371">
        <f>IF('Datos de Proyecto'!M32&lt;&gt;0,VLOOKUP('Datos de Proyecto'!N32,'Calculo de Span'!$M$8:$W$27,10,FALSE),0)</f>
        <v>0</v>
      </c>
      <c r="L40" s="371">
        <f t="shared" si="4"/>
        <v>0</v>
      </c>
      <c r="M40" s="371">
        <f>IF('Datos de Proyecto'!$D$33&gt;0,ROUNDUP((A40*E40+B40*C40+B40*D40+F40*K40+G40*4+H40*K40+I40*K40+J40*K40+'Datos de Proyecto'!$D$33*K40)/'Datos de Proyecto'!$D$37,0),ROUNDUP((B40*C40+F40*K40+G40*4+H40*K40+I40*K40+J40*K40)/'Datos de Proyecto'!$D$37,0))</f>
        <v>0</v>
      </c>
      <c r="N40" s="371">
        <f t="shared" si="5"/>
        <v>0</v>
      </c>
      <c r="O40" s="371">
        <f>IF(K40=0,0,IF('Datos de Proyecto'!$D$33&gt;0,(A40+B40+B40)*2+K40*4,K40*3+B40*2))</f>
        <v>0</v>
      </c>
      <c r="P40" s="371">
        <f>IF('Datos de Proyecto'!M32=0,0,4)*2</f>
        <v>0</v>
      </c>
      <c r="Q40" s="371">
        <f>IF('Datos de Proyecto'!M32=0,0,(('Datos de Proyecto'!N32-1)*4))</f>
        <v>0</v>
      </c>
      <c r="R40" s="371">
        <f>IF('Datos de Proyecto'!M32=0,0,1)</f>
        <v>0</v>
      </c>
      <c r="S40" s="371">
        <f>ROUNDDOWN(G40/'Datos de Proyecto'!$D$37,0)*4</f>
        <v>0</v>
      </c>
      <c r="T40" s="371">
        <f t="shared" si="6"/>
        <v>0</v>
      </c>
    </row>
    <row r="41" spans="1:20">
      <c r="A41" s="375">
        <f>IF('Datos de Proyecto'!$D$33&gt;0,K41,0)</f>
        <v>0</v>
      </c>
      <c r="B41" s="375">
        <f t="shared" si="3"/>
        <v>0</v>
      </c>
      <c r="C41" s="309">
        <f>IF('Datos de Proyecto'!N33=0,0,SQRT(('Calculo de Span'!U20-0.05)^2+(J41-0.2)^2)*0.95)</f>
        <v>0</v>
      </c>
      <c r="D41" s="309">
        <f>IF('Datos de Proyecto'!N33=0,0,IF('Datos de Proyecto'!$D$33&gt;0,+SQRT(('Calculo de Span'!U20-0.05)^2+('Sistema Dos filas'!$E$35-0.15)^2)*0.97,0))</f>
        <v>0</v>
      </c>
      <c r="E41" s="309">
        <f>IF('Datos de Proyecto'!N33=0,0,+IF('Datos de Proyecto'!$D$33&gt;0,'Sistema Dos filas'!$E$38,0))</f>
        <v>0</v>
      </c>
      <c r="F41" s="309">
        <f>IF('Datos de Proyecto'!$M$19="Vertical",(('Datos de Proyecto'!$D$25*0.9)+'Datos de Proyecto'!$D$25),('Datos de Proyecto'!$D$26*0.9)+'Datos de Proyecto'!$D$26)</f>
        <v>4.5296000000000003</v>
      </c>
      <c r="G41" s="309">
        <f>IF('Datos de Proyecto'!N33=0,0,(IF('Datos de Proyecto'!$M$19="Vertical",('Datos de Proyecto'!N33*'Datos de Proyecto'!$D$26),('Datos de Proyecto'!N33*'Datos de Proyecto'!$D$25))+((P41+Q41)/4*0.0127)+0.1))</f>
        <v>0</v>
      </c>
      <c r="H41" s="309">
        <f>IF('Sistema Dos filas'!$E$35&gt;0,'Formula de apoyo'!$V$6*'Sistema Dos filas'!$E$31*1/3+'Sistema Dos filas'!$E$35/COS('Sistema Dos filas'!$E$41*PI()/180),'Formula de apoyo'!$V$6*'Sistema Dos filas'!$E$31*1/3)</f>
        <v>0</v>
      </c>
      <c r="I41" s="309">
        <f>IF('Sistema Dos filas'!$E$35&gt;0,'Formula de apoyo'!$V$6*'Sistema Dos filas'!$E$31*2/3+'Sistema Dos filas'!$E$35/COS('Sistema Dos filas'!$E$41*PI()/180),'Formula de apoyo'!$V$6*'Sistema Dos filas'!$E$31*2/3)</f>
        <v>0</v>
      </c>
      <c r="J41" s="309">
        <f>IF('Sistema Dos filas'!$E$35&gt;0,'Formula de apoyo'!$V$6*'Sistema Dos filas'!$E$31+'Sistema Dos filas'!$E$35/COS('Sistema Dos filas'!$E$41*PI()/180),'Formula de apoyo'!$V$6*'Sistema Dos filas'!$E$31)</f>
        <v>0</v>
      </c>
      <c r="K41" s="301">
        <f>IF('Datos de Proyecto'!M33&lt;&gt;0,VLOOKUP('Datos de Proyecto'!N33,'Calculo de Span'!$M$8:$W$27,10,FALSE),0)</f>
        <v>0</v>
      </c>
      <c r="L41" s="301">
        <f t="shared" si="4"/>
        <v>0</v>
      </c>
      <c r="M41" s="301">
        <f>IF('Datos de Proyecto'!$D$33&gt;0,ROUNDUP((A41*E41+B41*C41+B41*D41+F41*K41+G41*4+H41*K41+I41*K41+J41*K41+'Datos de Proyecto'!$D$33*K41)/'Datos de Proyecto'!$D$37,0),ROUNDUP((B41*C41+F41*K41+G41*4+H41*K41+I41*K41+J41*K41)/'Datos de Proyecto'!$D$37,0))</f>
        <v>0</v>
      </c>
      <c r="N41" s="301">
        <f t="shared" si="5"/>
        <v>0</v>
      </c>
      <c r="O41" s="301">
        <f>IF(K41=0,0,IF('Datos de Proyecto'!$D$33&gt;0,(A41+B41+B41)*2+K41*4,K41*3+B41*2))</f>
        <v>0</v>
      </c>
      <c r="P41" s="301">
        <f>IF('Datos de Proyecto'!M33=0,0,4)*2</f>
        <v>0</v>
      </c>
      <c r="Q41" s="301">
        <f>IF('Datos de Proyecto'!M33=0,0,(('Datos de Proyecto'!N33-1)*4))</f>
        <v>0</v>
      </c>
      <c r="R41" s="301">
        <f>IF('Datos de Proyecto'!M33=0,0,1)</f>
        <v>0</v>
      </c>
      <c r="S41" s="301">
        <f>ROUNDDOWN(G41/'Datos de Proyecto'!$D$37,0)*4</f>
        <v>0</v>
      </c>
      <c r="T41" s="301">
        <f t="shared" si="6"/>
        <v>0</v>
      </c>
    </row>
    <row r="42" spans="1:20">
      <c r="A42" s="376">
        <f>IF('Datos de Proyecto'!$D$33&gt;0,K42,0)</f>
        <v>0</v>
      </c>
      <c r="B42" s="376">
        <f t="shared" si="3"/>
        <v>0</v>
      </c>
      <c r="C42" s="372">
        <f>IF('Datos de Proyecto'!N34=0,0,SQRT(('Calculo de Span'!U21-0.05)^2+(J42-0.2)^2)*0.95)</f>
        <v>0</v>
      </c>
      <c r="D42" s="372">
        <f>IF('Datos de Proyecto'!N34=0,0,IF('Datos de Proyecto'!$D$33&gt;0,+SQRT(('Calculo de Span'!U21-0.05)^2+('Sistema Dos filas'!$E$35-0.15)^2)*0.97,0))</f>
        <v>0</v>
      </c>
      <c r="E42" s="372">
        <f>IF('Datos de Proyecto'!N34=0,0,+IF('Datos de Proyecto'!$D$33&gt;0,'Sistema Dos filas'!$E$38,0))</f>
        <v>0</v>
      </c>
      <c r="F42" s="372">
        <f>IF('Datos de Proyecto'!$M$19="Vertical",(('Datos de Proyecto'!$D$25*0.9)+'Datos de Proyecto'!$D$25),('Datos de Proyecto'!$D$26*0.9)+'Datos de Proyecto'!$D$26)</f>
        <v>4.5296000000000003</v>
      </c>
      <c r="G42" s="372">
        <f>IF('Datos de Proyecto'!N34=0,0,(IF('Datos de Proyecto'!$M$19="Vertical",('Datos de Proyecto'!N34*'Datos de Proyecto'!$D$26),('Datos de Proyecto'!N34*'Datos de Proyecto'!$D$25))+((P42+Q42)/4*0.0127)+0.1))</f>
        <v>0</v>
      </c>
      <c r="H42" s="372">
        <f>IF('Sistema Dos filas'!$E$35&gt;0,'Formula de apoyo'!$V$6*'Sistema Dos filas'!$E$31*1/3+'Sistema Dos filas'!$E$35/COS('Sistema Dos filas'!$E$41*PI()/180),'Formula de apoyo'!$V$6*'Sistema Dos filas'!$E$31*1/3)</f>
        <v>0</v>
      </c>
      <c r="I42" s="372">
        <f>IF('Sistema Dos filas'!$E$35&gt;0,'Formula de apoyo'!$V$6*'Sistema Dos filas'!$E$31*2/3+'Sistema Dos filas'!$E$35/COS('Sistema Dos filas'!$E$41*PI()/180),'Formula de apoyo'!$V$6*'Sistema Dos filas'!$E$31*2/3)</f>
        <v>0</v>
      </c>
      <c r="J42" s="372">
        <f>IF('Sistema Dos filas'!$E$35&gt;0,'Formula de apoyo'!$V$6*'Sistema Dos filas'!$E$31+'Sistema Dos filas'!$E$35/COS('Sistema Dos filas'!$E$41*PI()/180),'Formula de apoyo'!$V$6*'Sistema Dos filas'!$E$31)</f>
        <v>0</v>
      </c>
      <c r="K42" s="371">
        <f>IF('Datos de Proyecto'!M34&lt;&gt;0,VLOOKUP('Datos de Proyecto'!N34,'Calculo de Span'!$M$8:$W$27,10,FALSE),0)</f>
        <v>0</v>
      </c>
      <c r="L42" s="371">
        <f t="shared" si="4"/>
        <v>0</v>
      </c>
      <c r="M42" s="371">
        <f>IF('Datos de Proyecto'!$D$33&gt;0,ROUNDUP((A42*E42+B42*C42+B42*D42+F42*K42+G42*4+H42*K42+I42*K42+J42*K42+'Datos de Proyecto'!$D$33*K42)/'Datos de Proyecto'!$D$37,0),ROUNDUP((B42*C42+F42*K42+G42*4+H42*K42+I42*K42+J42*K42)/'Datos de Proyecto'!$D$37,0))</f>
        <v>0</v>
      </c>
      <c r="N42" s="371">
        <f t="shared" si="5"/>
        <v>0</v>
      </c>
      <c r="O42" s="371">
        <f>IF(K42=0,0,IF('Datos de Proyecto'!$D$33&gt;0,(A42+B42+B42)*2+K42*4,K42*3+B42*2))</f>
        <v>0</v>
      </c>
      <c r="P42" s="371">
        <f>IF('Datos de Proyecto'!M34=0,0,4)*2</f>
        <v>0</v>
      </c>
      <c r="Q42" s="371">
        <f>IF('Datos de Proyecto'!M34=0,0,(('Datos de Proyecto'!N34-1)*4))</f>
        <v>0</v>
      </c>
      <c r="R42" s="371">
        <f>IF('Datos de Proyecto'!M34=0,0,1)</f>
        <v>0</v>
      </c>
      <c r="S42" s="371">
        <f>ROUNDDOWN(G42/'Datos de Proyecto'!$D$37,0)*4</f>
        <v>0</v>
      </c>
      <c r="T42" s="371">
        <f t="shared" si="6"/>
        <v>0</v>
      </c>
    </row>
    <row r="43" spans="1:20">
      <c r="A43" s="375">
        <f>IF('Datos de Proyecto'!$D$33&gt;0,K43,0)</f>
        <v>0</v>
      </c>
      <c r="B43" s="375">
        <f t="shared" si="3"/>
        <v>0</v>
      </c>
      <c r="C43" s="309">
        <f>IF('Datos de Proyecto'!N35=0,0,SQRT(('Calculo de Span'!U22-0.05)^2+(J43-0.2)^2)*0.95)</f>
        <v>0</v>
      </c>
      <c r="D43" s="309">
        <f>IF('Datos de Proyecto'!N35=0,0,IF('Datos de Proyecto'!$D$33&gt;0,+SQRT(('Calculo de Span'!U22-0.05)^2+('Sistema Dos filas'!$E$35-0.15)^2)*0.97,0))</f>
        <v>0</v>
      </c>
      <c r="E43" s="309">
        <f>IF('Datos de Proyecto'!N35=0,0,+IF('Datos de Proyecto'!$D$33&gt;0,'Sistema Dos filas'!$E$38,0))</f>
        <v>0</v>
      </c>
      <c r="F43" s="309">
        <f>IF('Datos de Proyecto'!$M$19="Vertical",(('Datos de Proyecto'!$D$25*0.9)+'Datos de Proyecto'!$D$25),('Datos de Proyecto'!$D$26*0.9)+'Datos de Proyecto'!$D$26)</f>
        <v>4.5296000000000003</v>
      </c>
      <c r="G43" s="309">
        <f>IF('Datos de Proyecto'!N35=0,0,(IF('Datos de Proyecto'!$M$19="Vertical",('Datos de Proyecto'!N35*'Datos de Proyecto'!$D$26),('Datos de Proyecto'!N35*'Datos de Proyecto'!$D$25))+((P43+Q43)/4*0.0127)+0.1))</f>
        <v>0</v>
      </c>
      <c r="H43" s="309">
        <f>IF('Sistema Dos filas'!$E$35&gt;0,'Formula de apoyo'!$V$6*'Sistema Dos filas'!$E$31*1/3+'Sistema Dos filas'!$E$35/COS('Sistema Dos filas'!$E$41*PI()/180),'Formula de apoyo'!$V$6*'Sistema Dos filas'!$E$31*1/3)</f>
        <v>0</v>
      </c>
      <c r="I43" s="309">
        <f>IF('Sistema Dos filas'!$E$35&gt;0,'Formula de apoyo'!$V$6*'Sistema Dos filas'!$E$31*2/3+'Sistema Dos filas'!$E$35/COS('Sistema Dos filas'!$E$41*PI()/180),'Formula de apoyo'!$V$6*'Sistema Dos filas'!$E$31*2/3)</f>
        <v>0</v>
      </c>
      <c r="J43" s="309">
        <f>IF('Sistema Dos filas'!$E$35&gt;0,'Formula de apoyo'!$V$6*'Sistema Dos filas'!$E$31+'Sistema Dos filas'!$E$35/COS('Sistema Dos filas'!$E$41*PI()/180),'Formula de apoyo'!$V$6*'Sistema Dos filas'!$E$31)</f>
        <v>0</v>
      </c>
      <c r="K43" s="301">
        <f>IF('Datos de Proyecto'!M35&lt;&gt;0,VLOOKUP('Datos de Proyecto'!N35,'Calculo de Span'!$M$8:$W$27,10,FALSE),0)</f>
        <v>0</v>
      </c>
      <c r="L43" s="301">
        <f t="shared" si="4"/>
        <v>0</v>
      </c>
      <c r="M43" s="301">
        <f>IF('Datos de Proyecto'!$D$33&gt;0,ROUNDUP((A43*E43+B43*C43+B43*D43+F43*K43+G43*4+H43*K43+I43*K43+J43*K43+'Datos de Proyecto'!$D$33*K43)/'Datos de Proyecto'!$D$37,0),ROUNDUP((B43*C43+F43*K43+G43*4+H43*K43+I43*K43+J43*K43)/'Datos de Proyecto'!$D$37,0))</f>
        <v>0</v>
      </c>
      <c r="N43" s="301">
        <f t="shared" si="5"/>
        <v>0</v>
      </c>
      <c r="O43" s="301">
        <f>IF(K43=0,0,IF('Datos de Proyecto'!$D$33&gt;0,(A43+B43+B43)*2+K43*4,K43*3+B43*2))</f>
        <v>0</v>
      </c>
      <c r="P43" s="301">
        <f>IF('Datos de Proyecto'!M35=0,0,4)*2</f>
        <v>0</v>
      </c>
      <c r="Q43" s="301">
        <f>IF('Datos de Proyecto'!M35=0,0,(('Datos de Proyecto'!N35-1)*4))</f>
        <v>0</v>
      </c>
      <c r="R43" s="301">
        <f>IF('Datos de Proyecto'!M35=0,0,1)</f>
        <v>0</v>
      </c>
      <c r="S43" s="301">
        <f>ROUNDDOWN(G43/'Datos de Proyecto'!$D$37,0)*4</f>
        <v>0</v>
      </c>
      <c r="T43" s="301">
        <f t="shared" si="6"/>
        <v>0</v>
      </c>
    </row>
    <row r="44" spans="1:20">
      <c r="A44" s="376">
        <f>IF('Datos de Proyecto'!$D$33&gt;0,K44,0)</f>
        <v>0</v>
      </c>
      <c r="B44" s="376">
        <f t="shared" si="3"/>
        <v>0</v>
      </c>
      <c r="C44" s="372">
        <f>IF('Datos de Proyecto'!N36=0,0,SQRT(('Calculo de Span'!U23-0.05)^2+(J44-0.2)^2)*0.95)</f>
        <v>0</v>
      </c>
      <c r="D44" s="372">
        <f>IF('Datos de Proyecto'!N36=0,0,IF('Datos de Proyecto'!$D$33&gt;0,+SQRT(('Calculo de Span'!U23-0.05)^2+('Sistema Dos filas'!$E$35-0.15)^2)*0.97,0))</f>
        <v>0</v>
      </c>
      <c r="E44" s="372">
        <f>IF('Datos de Proyecto'!N36=0,0,+IF('Datos de Proyecto'!$D$33&gt;0,'Sistema Dos filas'!$E$38,0))</f>
        <v>0</v>
      </c>
      <c r="F44" s="372">
        <f>IF('Datos de Proyecto'!$M$19="Vertical",(('Datos de Proyecto'!$D$25*0.9)+'Datos de Proyecto'!$D$25),('Datos de Proyecto'!$D$26*0.9)+'Datos de Proyecto'!$D$26)</f>
        <v>4.5296000000000003</v>
      </c>
      <c r="G44" s="372">
        <f>IF('Datos de Proyecto'!N36=0,0,(IF('Datos de Proyecto'!$M$19="Vertical",('Datos de Proyecto'!N36*'Datos de Proyecto'!$D$26),('Datos de Proyecto'!N36*'Datos de Proyecto'!$D$25))+((P44+Q44)/4*0.0127)+0.1))</f>
        <v>0</v>
      </c>
      <c r="H44" s="372">
        <f>IF('Sistema Dos filas'!$E$35&gt;0,'Formula de apoyo'!$V$6*'Sistema Dos filas'!$E$31*1/3+'Sistema Dos filas'!$E$35/COS('Sistema Dos filas'!$E$41*PI()/180),'Formula de apoyo'!$V$6*'Sistema Dos filas'!$E$31*1/3)</f>
        <v>0</v>
      </c>
      <c r="I44" s="372">
        <f>IF('Sistema Dos filas'!$E$35&gt;0,'Formula de apoyo'!$V$6*'Sistema Dos filas'!$E$31*2/3+'Sistema Dos filas'!$E$35/COS('Sistema Dos filas'!$E$41*PI()/180),'Formula de apoyo'!$V$6*'Sistema Dos filas'!$E$31*2/3)</f>
        <v>0</v>
      </c>
      <c r="J44" s="372">
        <f>IF('Sistema Dos filas'!$E$35&gt;0,'Formula de apoyo'!$V$6*'Sistema Dos filas'!$E$31+'Sistema Dos filas'!$E$35/COS('Sistema Dos filas'!$E$41*PI()/180),'Formula de apoyo'!$V$6*'Sistema Dos filas'!$E$31)</f>
        <v>0</v>
      </c>
      <c r="K44" s="371">
        <f>IF('Datos de Proyecto'!M36&lt;&gt;0,VLOOKUP('Datos de Proyecto'!N36,'Calculo de Span'!$M$8:$W$27,10,FALSE),0)</f>
        <v>0</v>
      </c>
      <c r="L44" s="371">
        <f t="shared" si="4"/>
        <v>0</v>
      </c>
      <c r="M44" s="371">
        <f>IF('Datos de Proyecto'!$D$33&gt;0,ROUNDUP((A44*E44+B44*C44+B44*D44+F44*K44+G44*4+H44*K44+I44*K44+J44*K44+'Datos de Proyecto'!$D$33*K44)/'Datos de Proyecto'!$D$37,0),ROUNDUP((B44*C44+F44*K44+G44*4+H44*K44+I44*K44+J44*K44)/'Datos de Proyecto'!$D$37,0))</f>
        <v>0</v>
      </c>
      <c r="N44" s="371">
        <f t="shared" si="5"/>
        <v>0</v>
      </c>
      <c r="O44" s="371">
        <f>IF(K44=0,0,IF('Datos de Proyecto'!$D$33&gt;0,(A44+B44+B44)*2+K44*4,K44*3+B44*2))</f>
        <v>0</v>
      </c>
      <c r="P44" s="371">
        <f>IF('Datos de Proyecto'!M36=0,0,4)*2</f>
        <v>0</v>
      </c>
      <c r="Q44" s="371">
        <f>IF('Datos de Proyecto'!M36=0,0,(('Datos de Proyecto'!N36-1)*4))</f>
        <v>0</v>
      </c>
      <c r="R44" s="371">
        <f>IF('Datos de Proyecto'!M36=0,0,1)</f>
        <v>0</v>
      </c>
      <c r="S44" s="371">
        <f>ROUNDDOWN(G44/'Datos de Proyecto'!$D$37,0)*4</f>
        <v>0</v>
      </c>
      <c r="T44" s="371">
        <f t="shared" si="6"/>
        <v>0</v>
      </c>
    </row>
    <row r="45" spans="1:20">
      <c r="A45" s="375">
        <f>IF('Datos de Proyecto'!$D$33&gt;0,K45,0)</f>
        <v>0</v>
      </c>
      <c r="B45" s="375">
        <f t="shared" si="3"/>
        <v>0</v>
      </c>
      <c r="C45" s="309">
        <f>IF('Datos de Proyecto'!N37=0,0,SQRT(('Calculo de Span'!U24-0.05)^2+(J45-0.2)^2)*0.95)</f>
        <v>0</v>
      </c>
      <c r="D45" s="309">
        <f>IF('Datos de Proyecto'!N37=0,0,IF('Datos de Proyecto'!$D$33&gt;0,+SQRT(('Calculo de Span'!U24-0.05)^2+('Sistema Dos filas'!$E$35-0.15)^2)*0.97,0))</f>
        <v>0</v>
      </c>
      <c r="E45" s="309">
        <f>IF('Datos de Proyecto'!N37=0,0,+IF('Datos de Proyecto'!$D$33&gt;0,'Sistema Dos filas'!$E$38,0))</f>
        <v>0</v>
      </c>
      <c r="F45" s="309">
        <f>IF('Datos de Proyecto'!$M$19="Vertical",(('Datos de Proyecto'!$D$25*0.9)+'Datos de Proyecto'!$D$25),('Datos de Proyecto'!$D$26*0.9)+'Datos de Proyecto'!$D$26)</f>
        <v>4.5296000000000003</v>
      </c>
      <c r="G45" s="309">
        <f>IF('Datos de Proyecto'!N37=0,0,(IF('Datos de Proyecto'!$M$19="Vertical",('Datos de Proyecto'!N37*'Datos de Proyecto'!$D$26),('Datos de Proyecto'!N37*'Datos de Proyecto'!$D$25))+((P45+Q45)/4*0.0127)+0.1))</f>
        <v>0</v>
      </c>
      <c r="H45" s="309">
        <f>IF('Sistema Dos filas'!$E$35&gt;0,'Formula de apoyo'!$V$6*'Sistema Dos filas'!$E$31*1/3+'Sistema Dos filas'!$E$35/COS('Sistema Dos filas'!$E$41*PI()/180),'Formula de apoyo'!$V$6*'Sistema Dos filas'!$E$31*1/3)</f>
        <v>0</v>
      </c>
      <c r="I45" s="309">
        <f>IF('Sistema Dos filas'!$E$35&gt;0,'Formula de apoyo'!$V$6*'Sistema Dos filas'!$E$31*2/3+'Sistema Dos filas'!$E$35/COS('Sistema Dos filas'!$E$41*PI()/180),'Formula de apoyo'!$V$6*'Sistema Dos filas'!$E$31*2/3)</f>
        <v>0</v>
      </c>
      <c r="J45" s="309">
        <f>IF('Sistema Dos filas'!$E$35&gt;0,'Formula de apoyo'!$V$6*'Sistema Dos filas'!$E$31+'Sistema Dos filas'!$E$35/COS('Sistema Dos filas'!$E$41*PI()/180),'Formula de apoyo'!$V$6*'Sistema Dos filas'!$E$31)</f>
        <v>0</v>
      </c>
      <c r="K45" s="301">
        <f>IF('Datos de Proyecto'!M37&lt;&gt;0,VLOOKUP('Datos de Proyecto'!N37,'Calculo de Span'!$M$8:$W$27,10,FALSE),0)</f>
        <v>0</v>
      </c>
      <c r="L45" s="301">
        <f t="shared" si="4"/>
        <v>0</v>
      </c>
      <c r="M45" s="301">
        <f>IF('Datos de Proyecto'!$D$33&gt;0,ROUNDUP((A45*E45+B45*C45+B45*D45+F45*K45+G45*4+H45*K45+I45*K45+J45*K45+'Datos de Proyecto'!$D$33*K45)/'Datos de Proyecto'!$D$37,0),ROUNDUP((B45*C45+F45*K45+G45*4+H45*K45+I45*K45+J45*K45)/'Datos de Proyecto'!$D$37,0))</f>
        <v>0</v>
      </c>
      <c r="N45" s="301">
        <f t="shared" si="5"/>
        <v>0</v>
      </c>
      <c r="O45" s="301">
        <f>IF(K45=0,0,IF('Datos de Proyecto'!$D$33&gt;0,(A45+B45+B45)*2+K45*4,K45*3+B45*2))</f>
        <v>0</v>
      </c>
      <c r="P45" s="301">
        <f>IF('Datos de Proyecto'!M37=0,0,4)*2</f>
        <v>0</v>
      </c>
      <c r="Q45" s="301">
        <f>IF('Datos de Proyecto'!M37=0,0,(('Datos de Proyecto'!N37-1)*4))</f>
        <v>0</v>
      </c>
      <c r="R45" s="301">
        <f>IF('Datos de Proyecto'!M37=0,0,1)</f>
        <v>0</v>
      </c>
      <c r="S45" s="301">
        <f>ROUNDDOWN(G45/'Datos de Proyecto'!$D$37,0)*4</f>
        <v>0</v>
      </c>
      <c r="T45" s="301">
        <f t="shared" si="6"/>
        <v>0</v>
      </c>
    </row>
    <row r="46" spans="1:20">
      <c r="A46" s="376">
        <f>IF('Datos de Proyecto'!$D$33&gt;0,K46,0)</f>
        <v>0</v>
      </c>
      <c r="B46" s="376">
        <f t="shared" si="3"/>
        <v>0</v>
      </c>
      <c r="C46" s="372">
        <f>IF('Datos de Proyecto'!N38=0,0,SQRT(('Calculo de Span'!U25-0.05)^2+(J46-0.2)^2)*0.95)</f>
        <v>0</v>
      </c>
      <c r="D46" s="372">
        <f>IF('Datos de Proyecto'!N38=0,0,IF('Datos de Proyecto'!$D$33&gt;0,+SQRT(('Calculo de Span'!U25-0.05)^2+('Sistema Dos filas'!$E$35-0.15)^2)*0.97,0))</f>
        <v>0</v>
      </c>
      <c r="E46" s="372">
        <f>IF('Datos de Proyecto'!N38=0,0,+IF('Datos de Proyecto'!$D$33&gt;0,'Sistema Dos filas'!$E$38,0))</f>
        <v>0</v>
      </c>
      <c r="F46" s="372">
        <f>IF('Datos de Proyecto'!$M$19="Vertical",(('Datos de Proyecto'!$D$25*0.9)+'Datos de Proyecto'!$D$25),('Datos de Proyecto'!$D$26*0.9)+'Datos de Proyecto'!$D$26)</f>
        <v>4.5296000000000003</v>
      </c>
      <c r="G46" s="372">
        <f>IF('Datos de Proyecto'!N38=0,0,(IF('Datos de Proyecto'!$M$19="Vertical",('Datos de Proyecto'!N38*'Datos de Proyecto'!$D$26),('Datos de Proyecto'!N38*'Datos de Proyecto'!$D$25))+((P46+Q46)/4*0.0127)+0.1))</f>
        <v>0</v>
      </c>
      <c r="H46" s="372">
        <f>IF('Sistema Dos filas'!$E$35&gt;0,'Formula de apoyo'!$V$6*'Sistema Dos filas'!$E$31*1/3+'Sistema Dos filas'!$E$35/COS('Sistema Dos filas'!$E$41*PI()/180),'Formula de apoyo'!$V$6*'Sistema Dos filas'!$E$31*1/3)</f>
        <v>0</v>
      </c>
      <c r="I46" s="372">
        <f>IF('Sistema Dos filas'!$E$35&gt;0,'Formula de apoyo'!$V$6*'Sistema Dos filas'!$E$31*2/3+'Sistema Dos filas'!$E$35/COS('Sistema Dos filas'!$E$41*PI()/180),'Formula de apoyo'!$V$6*'Sistema Dos filas'!$E$31*2/3)</f>
        <v>0</v>
      </c>
      <c r="J46" s="372">
        <f>IF('Sistema Dos filas'!$E$35&gt;0,'Formula de apoyo'!$V$6*'Sistema Dos filas'!$E$31+'Sistema Dos filas'!$E$35/COS('Sistema Dos filas'!$E$41*PI()/180),'Formula de apoyo'!$V$6*'Sistema Dos filas'!$E$31)</f>
        <v>0</v>
      </c>
      <c r="K46" s="371">
        <f>IF('Datos de Proyecto'!M38&lt;&gt;0,VLOOKUP('Datos de Proyecto'!N38,'Calculo de Span'!$M$8:$W$27,10,FALSE),0)</f>
        <v>0</v>
      </c>
      <c r="L46" s="371">
        <f t="shared" si="4"/>
        <v>0</v>
      </c>
      <c r="M46" s="371">
        <f>IF('Datos de Proyecto'!$D$33&gt;0,ROUNDUP((A46*E46+B46*C46+B46*D46+F46*K46+G46*4+H46*K46+I46*K46+J46*K46+'Datos de Proyecto'!$D$33*K46)/'Datos de Proyecto'!$D$37,0),ROUNDUP((B46*C46+F46*K46+G46*4+H46*K46+I46*K46+J46*K46)/'Datos de Proyecto'!$D$37,0))</f>
        <v>0</v>
      </c>
      <c r="N46" s="371">
        <f t="shared" si="5"/>
        <v>0</v>
      </c>
      <c r="O46" s="371">
        <f>IF(K46=0,0,IF('Datos de Proyecto'!$D$33&gt;0,(A46+B46+B46)*2+K46*4,K46*3+B46*2))</f>
        <v>0</v>
      </c>
      <c r="P46" s="371">
        <f>IF('Datos de Proyecto'!M38=0,0,4)*2</f>
        <v>0</v>
      </c>
      <c r="Q46" s="371">
        <f>IF('Datos de Proyecto'!M38=0,0,(('Datos de Proyecto'!N38-1)*4))</f>
        <v>0</v>
      </c>
      <c r="R46" s="371">
        <f>IF('Datos de Proyecto'!M38=0,0,1)</f>
        <v>0</v>
      </c>
      <c r="S46" s="371">
        <f>ROUNDDOWN(G46/'Datos de Proyecto'!$D$37,0)*4</f>
        <v>0</v>
      </c>
      <c r="T46" s="371">
        <f t="shared" si="6"/>
        <v>0</v>
      </c>
    </row>
    <row r="47" spans="1:20">
      <c r="A47" s="375">
        <f>IF('Datos de Proyecto'!$D$33&gt;0,K47,0)</f>
        <v>0</v>
      </c>
      <c r="B47" s="375">
        <f t="shared" si="3"/>
        <v>0</v>
      </c>
      <c r="C47" s="309">
        <f>IF('Datos de Proyecto'!N39=0,0,SQRT(('Calculo de Span'!U26-0.05)^2+(J47-0.2)^2)*0.95)</f>
        <v>0</v>
      </c>
      <c r="D47" s="309">
        <f>IF('Datos de Proyecto'!N39=0,0,IF('Datos de Proyecto'!$D$33&gt;0,+SQRT(('Calculo de Span'!U26-0.05)^2+('Sistema Dos filas'!$E$35-0.15)^2)*0.97,0))</f>
        <v>0</v>
      </c>
      <c r="E47" s="309">
        <f>IF('Datos de Proyecto'!N39=0,0,+IF('Datos de Proyecto'!$D$33&gt;0,'Sistema Dos filas'!$E$38,0))</f>
        <v>0</v>
      </c>
      <c r="F47" s="309">
        <f>IF('Datos de Proyecto'!$M$19="Vertical",(('Datos de Proyecto'!$D$25*0.9)+'Datos de Proyecto'!$D$25),('Datos de Proyecto'!$D$26*0.9)+'Datos de Proyecto'!$D$26)</f>
        <v>4.5296000000000003</v>
      </c>
      <c r="G47" s="309">
        <f>IF('Datos de Proyecto'!N39=0,0,(IF('Datos de Proyecto'!$M$19="Vertical",('Datos de Proyecto'!N39*'Datos de Proyecto'!$D$26),('Datos de Proyecto'!N39*'Datos de Proyecto'!$D$25))+((P47+Q47)/4*0.0127)+0.1))</f>
        <v>0</v>
      </c>
      <c r="H47" s="309">
        <f>IF('Sistema Dos filas'!$E$35&gt;0,'Formula de apoyo'!$V$6*'Sistema Dos filas'!$E$31*1/3+'Sistema Dos filas'!$E$35/COS('Sistema Dos filas'!$E$41*PI()/180),'Formula de apoyo'!$V$6*'Sistema Dos filas'!$E$31*1/3)</f>
        <v>0</v>
      </c>
      <c r="I47" s="309">
        <f>IF('Sistema Dos filas'!$E$35&gt;0,'Formula de apoyo'!$V$6*'Sistema Dos filas'!$E$31*2/3+'Sistema Dos filas'!$E$35/COS('Sistema Dos filas'!$E$41*PI()/180),'Formula de apoyo'!$V$6*'Sistema Dos filas'!$E$31*2/3)</f>
        <v>0</v>
      </c>
      <c r="J47" s="309">
        <f>IF('Sistema Dos filas'!$E$35&gt;0,'Formula de apoyo'!$V$6*'Sistema Dos filas'!$E$31+'Sistema Dos filas'!$E$35/COS('Sistema Dos filas'!$E$41*PI()/180),'Formula de apoyo'!$V$6*'Sistema Dos filas'!$E$31)</f>
        <v>0</v>
      </c>
      <c r="K47" s="301">
        <f>IF('Datos de Proyecto'!M39&lt;&gt;0,VLOOKUP('Datos de Proyecto'!N39,'Calculo de Span'!$M$8:$W$27,10,FALSE),0)</f>
        <v>0</v>
      </c>
      <c r="L47" s="301">
        <f t="shared" si="4"/>
        <v>0</v>
      </c>
      <c r="M47" s="301">
        <f>IF('Datos de Proyecto'!$D$33&gt;0,ROUNDUP((A47*E47+B47*C47+B47*D47+F47*K47+G47*4+H47*K47+I47*K47+J47*K47+'Datos de Proyecto'!$D$33*K47)/'Datos de Proyecto'!$D$37,0),ROUNDUP((B47*C47+F47*K47+G47*4+H47*K47+I47*K47+J47*K47)/'Datos de Proyecto'!$D$37,0))</f>
        <v>0</v>
      </c>
      <c r="N47" s="301">
        <f t="shared" si="5"/>
        <v>0</v>
      </c>
      <c r="O47" s="301">
        <f>IF(K47=0,0,IF('Datos de Proyecto'!$D$33&gt;0,(A47+B47+B47)*2+K47*4,K47*3+B47*2))</f>
        <v>0</v>
      </c>
      <c r="P47" s="301">
        <f>IF('Datos de Proyecto'!M39=0,0,4)*2</f>
        <v>0</v>
      </c>
      <c r="Q47" s="301">
        <f>IF('Datos de Proyecto'!M39=0,0,(('Datos de Proyecto'!N39-1)*4))</f>
        <v>0</v>
      </c>
      <c r="R47" s="301">
        <f>IF('Datos de Proyecto'!M39=0,0,1)</f>
        <v>0</v>
      </c>
      <c r="S47" s="301">
        <f>ROUNDDOWN(G47/'Datos de Proyecto'!$D$37,0)*4</f>
        <v>0</v>
      </c>
      <c r="T47" s="301">
        <f t="shared" si="6"/>
        <v>0</v>
      </c>
    </row>
    <row r="48" spans="1:20">
      <c r="A48" s="377">
        <f>IF('Datos de Proyecto'!$D$33&gt;0,K48,0)</f>
        <v>0</v>
      </c>
      <c r="B48" s="377">
        <f t="shared" si="3"/>
        <v>0</v>
      </c>
      <c r="C48" s="374">
        <f>IF('Datos de Proyecto'!N40=0,0,SQRT(('Calculo de Span'!U27-0.05)^2+(J48-0.2)^2)*0.95)</f>
        <v>0</v>
      </c>
      <c r="D48" s="374">
        <f>IF('Datos de Proyecto'!N40=0,0,IF('Datos de Proyecto'!$D$33&gt;0,+SQRT(('Calculo de Span'!U27-0.05)^2+('Sistema Dos filas'!$E$35-0.15)^2)*0.97,0))</f>
        <v>0</v>
      </c>
      <c r="E48" s="374">
        <f>IF('Datos de Proyecto'!N40=0,0,+IF('Datos de Proyecto'!$D$33&gt;0,'Sistema Dos filas'!$E$38,0))</f>
        <v>0</v>
      </c>
      <c r="F48" s="374">
        <f>IF('Datos de Proyecto'!$M$19="Vertical",(('Datos de Proyecto'!$D$25*0.9)+'Datos de Proyecto'!$D$25),('Datos de Proyecto'!$D$26*0.9)+'Datos de Proyecto'!$D$26)</f>
        <v>4.5296000000000003</v>
      </c>
      <c r="G48" s="374">
        <f>IF('Datos de Proyecto'!N40=0,0,(IF('Datos de Proyecto'!$M$19="Vertical",('Datos de Proyecto'!N40*'Datos de Proyecto'!$D$26),('Datos de Proyecto'!N40*'Datos de Proyecto'!$D$25))+((P48+Q48)/4*0.0127)+0.1))</f>
        <v>0</v>
      </c>
      <c r="H48" s="374">
        <f>IF('Sistema Dos filas'!$E$35&gt;0,'Formula de apoyo'!$V$6*'Sistema Dos filas'!$E$31*1/3+'Sistema Dos filas'!$E$35/COS('Sistema Dos filas'!$E$41*PI()/180),'Formula de apoyo'!$V$6*'Sistema Dos filas'!$E$31*1/3)</f>
        <v>0</v>
      </c>
      <c r="I48" s="374">
        <f>IF('Sistema Dos filas'!$E$35&gt;0,'Formula de apoyo'!$V$6*'Sistema Dos filas'!$E$31*2/3+'Sistema Dos filas'!$E$35/COS('Sistema Dos filas'!$E$41*PI()/180),'Formula de apoyo'!$V$6*'Sistema Dos filas'!$E$31*2/3)</f>
        <v>0</v>
      </c>
      <c r="J48" s="374">
        <f>IF('Sistema Dos filas'!$E$35&gt;0,'Formula de apoyo'!$V$6*'Sistema Dos filas'!$E$31+'Sistema Dos filas'!$E$35/COS('Sistema Dos filas'!$E$41*PI()/180),'Formula de apoyo'!$V$6*'Sistema Dos filas'!$E$31)</f>
        <v>0</v>
      </c>
      <c r="K48" s="373">
        <f>IF('Datos de Proyecto'!M40&lt;&gt;0,VLOOKUP('Datos de Proyecto'!N40,'Calculo de Span'!$M$8:$W$27,10,FALSE),0)</f>
        <v>0</v>
      </c>
      <c r="L48" s="373">
        <f t="shared" si="4"/>
        <v>0</v>
      </c>
      <c r="M48" s="373">
        <f>IF('Datos de Proyecto'!$D$33&gt;0,ROUNDUP((A48*E48+B48*C48+B48*D48+F48*K48+G48*4+H48*K48+I48*K48+J48*K48+'Datos de Proyecto'!$D$33*K48)/'Datos de Proyecto'!$D$37,0),ROUNDUP((B48*C48+F48*K48+G48*4+H48*K48+I48*K48+J48*K48)/'Datos de Proyecto'!$D$37,0))</f>
        <v>0</v>
      </c>
      <c r="N48" s="373">
        <f t="shared" si="5"/>
        <v>0</v>
      </c>
      <c r="O48" s="373">
        <f>IF(K48=0,0,IF('Datos de Proyecto'!$D$33&gt;0,(A48+B48+B48)*2+K48*4,K48*3+B48*2))</f>
        <v>0</v>
      </c>
      <c r="P48" s="373">
        <f>IF('Datos de Proyecto'!M40=0,0,4)*2</f>
        <v>0</v>
      </c>
      <c r="Q48" s="373">
        <f>IF('Datos de Proyecto'!M40=0,0,(('Datos de Proyecto'!N40-1)*4))</f>
        <v>0</v>
      </c>
      <c r="R48" s="373">
        <f>IF('Datos de Proyecto'!M40=0,0,1)</f>
        <v>0</v>
      </c>
      <c r="S48" s="373">
        <f>ROUNDDOWN(G48/'Datos de Proyecto'!$D$37,0)*4</f>
        <v>0</v>
      </c>
      <c r="T48" s="373">
        <f t="shared" si="6"/>
        <v>0</v>
      </c>
    </row>
    <row r="49" spans="2:20">
      <c r="K49" s="299">
        <f>IF('Datos de Proyecto'!J41&lt;&gt;0,VLOOKUP('Datos de Proyecto'!M41,'Calculo de Span'!$M$8:$W$27,10,FALSE),0)</f>
        <v>0</v>
      </c>
      <c r="T49" s="301">
        <f t="shared" si="6"/>
        <v>0</v>
      </c>
    </row>
    <row r="52" spans="2:20" ht="21.5">
      <c r="I52" s="607" t="s">
        <v>154</v>
      </c>
      <c r="J52" s="608"/>
      <c r="K52" s="608"/>
      <c r="L52" s="608"/>
      <c r="M52" s="608"/>
      <c r="N52" s="609"/>
    </row>
    <row r="53" spans="2:20">
      <c r="I53" s="318" t="s">
        <v>547</v>
      </c>
      <c r="J53" s="316" t="s">
        <v>530</v>
      </c>
      <c r="K53" s="319" t="s">
        <v>531</v>
      </c>
      <c r="L53" s="316" t="s">
        <v>548</v>
      </c>
      <c r="M53" s="316" t="s">
        <v>506</v>
      </c>
      <c r="N53" s="316" t="s">
        <v>549</v>
      </c>
    </row>
    <row r="54" spans="2:20">
      <c r="B54" s="318" t="s">
        <v>550</v>
      </c>
      <c r="C54" s="316" t="s">
        <v>551</v>
      </c>
      <c r="I54" s="306">
        <f>IF('Datos de Proyecto'!G21&lt;&gt;0,VLOOKUP('Datos de Proyecto'!H21,'Calculo de Span'!$A$36:$K$55,10,FALSE),0)*2</f>
        <v>14</v>
      </c>
      <c r="J54" s="306">
        <f>ROUNDUP(+'Calculo de Span'!K36*2/'Datos de Proyecto'!$D$37,0)</f>
        <v>5</v>
      </c>
      <c r="K54" s="308">
        <f>IF('Datos de Proyecto'!G21=0,0,4)</f>
        <v>4</v>
      </c>
      <c r="L54" s="306">
        <f>IF('Datos de Proyecto'!G21=0,0,(('Datos de Proyecto'!H21-1)*2))</f>
        <v>18</v>
      </c>
      <c r="M54" s="306">
        <f>ROUNDDOWN(+'Calculo de Span'!K36/'Datos de Proyecto'!$D$37,0)*2</f>
        <v>4</v>
      </c>
      <c r="N54" s="307">
        <f>IF('Datos de Proyecto'!G21=0,0,1)</f>
        <v>1</v>
      </c>
    </row>
    <row r="55" spans="2:20">
      <c r="B55" s="303"/>
      <c r="C55" s="301"/>
      <c r="I55" s="306">
        <f>IF('Datos de Proyecto'!G22&lt;&gt;0,VLOOKUP('Datos de Proyecto'!H22,'Calculo de Span'!$A$36:$K$55,10,FALSE),0)*2</f>
        <v>14</v>
      </c>
      <c r="J55" s="301">
        <f>ROUNDUP(+'Calculo de Span'!K37*2/'Datos de Proyecto'!$D$37,0)</f>
        <v>5</v>
      </c>
      <c r="K55" s="307">
        <f>IF('Datos de Proyecto'!G22=0,0,4)</f>
        <v>4</v>
      </c>
      <c r="L55" s="301">
        <f>IF('Datos de Proyecto'!G22=0,0,(('Datos de Proyecto'!H22-1)*2))</f>
        <v>18</v>
      </c>
      <c r="M55" s="301">
        <f>ROUNDDOWN(+'Calculo de Span'!K37/'Datos de Proyecto'!$D$37,0)*2</f>
        <v>4</v>
      </c>
      <c r="N55" s="307">
        <f>IF('Datos de Proyecto'!G22=0,0,1)</f>
        <v>1</v>
      </c>
    </row>
    <row r="56" spans="2:20">
      <c r="B56" s="303"/>
      <c r="C56" s="301"/>
      <c r="I56" s="306">
        <f>IF('Datos de Proyecto'!G23&lt;&gt;0,VLOOKUP('Datos de Proyecto'!H23,'Calculo de Span'!$A$36:$K$55,10,FALSE),0)*2</f>
        <v>0</v>
      </c>
      <c r="J56" s="301">
        <f>ROUNDUP(+'Calculo de Span'!K38*2/'Datos de Proyecto'!$D$37,0)</f>
        <v>0</v>
      </c>
      <c r="K56" s="307">
        <f>IF('Datos de Proyecto'!G23=0,0,4)</f>
        <v>0</v>
      </c>
      <c r="L56" s="301">
        <f>IF('Datos de Proyecto'!G23=0,0,(('Datos de Proyecto'!H23-1)*2))</f>
        <v>0</v>
      </c>
      <c r="M56" s="301">
        <f>ROUNDDOWN(+'Calculo de Span'!K38/'Datos de Proyecto'!$D$37,0)*2</f>
        <v>0</v>
      </c>
      <c r="N56" s="307">
        <f>IF('Datos de Proyecto'!G23=0,0,1)</f>
        <v>0</v>
      </c>
    </row>
    <row r="57" spans="2:20">
      <c r="B57" s="303"/>
      <c r="C57" s="301"/>
      <c r="I57" s="306">
        <f>IF('Datos de Proyecto'!G24&lt;&gt;0,VLOOKUP('Datos de Proyecto'!H24,'Calculo de Span'!$A$36:$K$55,10,FALSE),0)*2</f>
        <v>0</v>
      </c>
      <c r="J57" s="301">
        <f>ROUNDUP(+'Calculo de Span'!K39*2/'Datos de Proyecto'!$D$37,0)</f>
        <v>0</v>
      </c>
      <c r="K57" s="307">
        <f>IF('Datos de Proyecto'!G24=0,0,4)</f>
        <v>0</v>
      </c>
      <c r="L57" s="301">
        <f>IF('Datos de Proyecto'!G24=0,0,(('Datos de Proyecto'!H24-1)*2))</f>
        <v>0</v>
      </c>
      <c r="M57" s="301">
        <f>ROUNDDOWN(+'Calculo de Span'!K39/'Datos de Proyecto'!$D$37,0)*2</f>
        <v>0</v>
      </c>
      <c r="N57" s="307">
        <f>IF('Datos de Proyecto'!G24=0,0,1)</f>
        <v>0</v>
      </c>
    </row>
    <row r="58" spans="2:20">
      <c r="B58" s="303"/>
      <c r="C58" s="301"/>
      <c r="I58" s="306">
        <f>IF('Datos de Proyecto'!G25&lt;&gt;0,VLOOKUP('Datos de Proyecto'!H25,'Calculo de Span'!$A$36:$K$55,10,FALSE),0)*2</f>
        <v>0</v>
      </c>
      <c r="J58" s="301">
        <f>ROUNDUP(+'Calculo de Span'!K40*2/'Datos de Proyecto'!$D$37,0)</f>
        <v>0</v>
      </c>
      <c r="K58" s="307">
        <f>IF('Datos de Proyecto'!G25=0,0,4)</f>
        <v>0</v>
      </c>
      <c r="L58" s="301">
        <f>IF('Datos de Proyecto'!G25=0,0,(('Datos de Proyecto'!H25-1)*2))</f>
        <v>0</v>
      </c>
      <c r="M58" s="301">
        <f>ROUNDDOWN(+'Calculo de Span'!K40/'Datos de Proyecto'!$D$37,0)*2</f>
        <v>0</v>
      </c>
      <c r="N58" s="307">
        <f>IF('Datos de Proyecto'!G25=0,0,1)</f>
        <v>0</v>
      </c>
    </row>
    <row r="59" spans="2:20">
      <c r="B59" s="303"/>
      <c r="C59" s="301"/>
      <c r="I59" s="306">
        <f>IF('Datos de Proyecto'!G26&lt;&gt;0,VLOOKUP('Datos de Proyecto'!H26,'Calculo de Span'!$A$36:$K$55,10,FALSE),0)*2</f>
        <v>0</v>
      </c>
      <c r="J59" s="301">
        <f>ROUNDUP(+'Calculo de Span'!K41*2/'Datos de Proyecto'!$D$37,0)</f>
        <v>0</v>
      </c>
      <c r="K59" s="307">
        <f>IF('Datos de Proyecto'!G26=0,0,4)</f>
        <v>0</v>
      </c>
      <c r="L59" s="301">
        <f>IF('Datos de Proyecto'!G26=0,0,(('Datos de Proyecto'!H26-1)*2))</f>
        <v>0</v>
      </c>
      <c r="M59" s="301">
        <f>ROUNDDOWN(+'Calculo de Span'!K41/'Datos de Proyecto'!$D$37,0)*2</f>
        <v>0</v>
      </c>
      <c r="N59" s="307">
        <f>IF('Datos de Proyecto'!G26=0,0,1)</f>
        <v>0</v>
      </c>
    </row>
    <row r="60" spans="2:20">
      <c r="B60" s="303"/>
      <c r="C60" s="301"/>
      <c r="I60" s="306">
        <f>IF('Datos de Proyecto'!G27&lt;&gt;0,VLOOKUP('Datos de Proyecto'!H27,'Calculo de Span'!$A$36:$K$55,10,FALSE),0)*2</f>
        <v>0</v>
      </c>
      <c r="J60" s="301">
        <f>ROUNDUP(+'Calculo de Span'!K42*2/'Datos de Proyecto'!$D$37,0)</f>
        <v>0</v>
      </c>
      <c r="K60" s="307">
        <f>IF('Datos de Proyecto'!G27=0,0,4)</f>
        <v>0</v>
      </c>
      <c r="L60" s="301">
        <f>IF('Datos de Proyecto'!G27=0,0,(('Datos de Proyecto'!H27-1)*2))</f>
        <v>0</v>
      </c>
      <c r="M60" s="301">
        <f>ROUNDDOWN(+'Calculo de Span'!K42/'Datos de Proyecto'!$D$37,0)*2</f>
        <v>0</v>
      </c>
      <c r="N60" s="307">
        <f>IF('Datos de Proyecto'!G27=0,0,1)</f>
        <v>0</v>
      </c>
    </row>
    <row r="61" spans="2:20">
      <c r="B61" s="303"/>
      <c r="C61" s="301"/>
      <c r="I61" s="306">
        <f>IF('Datos de Proyecto'!G28&lt;&gt;0,VLOOKUP('Datos de Proyecto'!H28,'Calculo de Span'!$A$36:$K$55,10,FALSE),0)*2</f>
        <v>0</v>
      </c>
      <c r="J61" s="301">
        <f>ROUNDUP(+'Calculo de Span'!K43*2/'Datos de Proyecto'!$D$37,0)</f>
        <v>0</v>
      </c>
      <c r="K61" s="307">
        <f>IF('Datos de Proyecto'!G28=0,0,4)</f>
        <v>0</v>
      </c>
      <c r="L61" s="301">
        <f>IF('Datos de Proyecto'!G28=0,0,(('Datos de Proyecto'!H28-1)*2))</f>
        <v>0</v>
      </c>
      <c r="M61" s="301">
        <f>ROUNDDOWN(+'Calculo de Span'!K43/'Datos de Proyecto'!$D$37,0)*2</f>
        <v>0</v>
      </c>
      <c r="N61" s="307">
        <f>IF('Datos de Proyecto'!G28=0,0,1)</f>
        <v>0</v>
      </c>
    </row>
    <row r="62" spans="2:20">
      <c r="B62" s="303"/>
      <c r="C62" s="301"/>
      <c r="I62" s="306">
        <f>IF('Datos de Proyecto'!G29&lt;&gt;0,VLOOKUP('Datos de Proyecto'!H29,'Calculo de Span'!$A$36:$K$55,10,FALSE),0)*2</f>
        <v>0</v>
      </c>
      <c r="J62" s="301">
        <f>ROUNDUP(+'Calculo de Span'!K44*2/'Datos de Proyecto'!$D$37,0)</f>
        <v>0</v>
      </c>
      <c r="K62" s="307">
        <f>IF('Datos de Proyecto'!G29=0,0,4)</f>
        <v>0</v>
      </c>
      <c r="L62" s="301">
        <f>IF('Datos de Proyecto'!G29=0,0,(('Datos de Proyecto'!H29-1)*2))</f>
        <v>0</v>
      </c>
      <c r="M62" s="301">
        <f>ROUNDDOWN(+'Calculo de Span'!K44/'Datos de Proyecto'!$D$37,0)*2</f>
        <v>0</v>
      </c>
      <c r="N62" s="307">
        <f>IF('Datos de Proyecto'!G29=0,0,1)</f>
        <v>0</v>
      </c>
    </row>
    <row r="63" spans="2:20">
      <c r="B63" s="303"/>
      <c r="C63" s="301"/>
      <c r="I63" s="306">
        <f>IF('Datos de Proyecto'!G30&lt;&gt;0,VLOOKUP('Datos de Proyecto'!H30,'Calculo de Span'!$A$36:$K$55,10,FALSE),0)*2</f>
        <v>0</v>
      </c>
      <c r="J63" s="301">
        <f>ROUNDUP(+'Calculo de Span'!K45*2/'Datos de Proyecto'!$D$37,0)</f>
        <v>0</v>
      </c>
      <c r="K63" s="307">
        <f>IF('Datos de Proyecto'!G30=0,0,4)</f>
        <v>0</v>
      </c>
      <c r="L63" s="301">
        <f>IF('Datos de Proyecto'!G30=0,0,(('Datos de Proyecto'!H30-1)*2))</f>
        <v>0</v>
      </c>
      <c r="M63" s="301">
        <f>ROUNDDOWN(+'Calculo de Span'!K45/'Datos de Proyecto'!$D$37,0)*2</f>
        <v>0</v>
      </c>
      <c r="N63" s="307">
        <f>IF('Datos de Proyecto'!G30=0,0,1)</f>
        <v>0</v>
      </c>
    </row>
    <row r="64" spans="2:20">
      <c r="B64" s="303"/>
      <c r="C64" s="301"/>
      <c r="I64" s="306">
        <f>IF('Datos de Proyecto'!G31&lt;&gt;0,VLOOKUP('Datos de Proyecto'!H31,'Calculo de Span'!$A$36:$K$55,10,FALSE),0)*2</f>
        <v>0</v>
      </c>
      <c r="J64" s="301">
        <f>ROUNDUP(+'Calculo de Span'!K46*2/'Datos de Proyecto'!$D$37,0)</f>
        <v>0</v>
      </c>
      <c r="K64" s="307">
        <f>IF('Datos de Proyecto'!G31=0,0,4)</f>
        <v>0</v>
      </c>
      <c r="L64" s="301">
        <f>IF('Datos de Proyecto'!G31=0,0,(('Datos de Proyecto'!H31-1)*2))</f>
        <v>0</v>
      </c>
      <c r="M64" s="301">
        <f>ROUNDDOWN(+'Calculo de Span'!K46/'Datos de Proyecto'!$D$37,0)*2</f>
        <v>0</v>
      </c>
      <c r="N64" s="307">
        <f>IF('Datos de Proyecto'!G31=0,0,1)</f>
        <v>0</v>
      </c>
    </row>
    <row r="65" spans="2:14">
      <c r="B65" s="303"/>
      <c r="C65" s="301"/>
      <c r="I65" s="306">
        <f>IF('Datos de Proyecto'!G32&lt;&gt;0,VLOOKUP('Datos de Proyecto'!H32,'Calculo de Span'!$A$36:$K$55,10,FALSE),0)*2</f>
        <v>0</v>
      </c>
      <c r="J65" s="301">
        <f>ROUNDUP(+'Calculo de Span'!K47*2/'Datos de Proyecto'!$D$37,0)</f>
        <v>0</v>
      </c>
      <c r="K65" s="307">
        <f>IF('Datos de Proyecto'!G32=0,0,4)</f>
        <v>0</v>
      </c>
      <c r="L65" s="301">
        <f>IF('Datos de Proyecto'!G32=0,0,(('Datos de Proyecto'!H32-1)*2))</f>
        <v>0</v>
      </c>
      <c r="M65" s="301">
        <f>ROUNDDOWN(+'Calculo de Span'!K47/'Datos de Proyecto'!$D$37,0)*2</f>
        <v>0</v>
      </c>
      <c r="N65" s="307">
        <f>IF('Datos de Proyecto'!G32=0,0,1)</f>
        <v>0</v>
      </c>
    </row>
    <row r="66" spans="2:14">
      <c r="B66" s="303"/>
      <c r="C66" s="301"/>
      <c r="I66" s="306">
        <f>IF('Datos de Proyecto'!G33&lt;&gt;0,VLOOKUP('Datos de Proyecto'!H33,'Calculo de Span'!$A$36:$K$55,10,FALSE),0)*2</f>
        <v>0</v>
      </c>
      <c r="J66" s="301">
        <f>ROUNDUP(+'Calculo de Span'!K48*2/'Datos de Proyecto'!$D$37,0)</f>
        <v>0</v>
      </c>
      <c r="K66" s="307">
        <f>IF('Datos de Proyecto'!G33=0,0,4)</f>
        <v>0</v>
      </c>
      <c r="L66" s="301">
        <f>IF('Datos de Proyecto'!G33=0,0,(('Datos de Proyecto'!H33-1)*2))</f>
        <v>0</v>
      </c>
      <c r="M66" s="301">
        <f>ROUNDDOWN(+'Calculo de Span'!K48/'Datos de Proyecto'!$D$37,0)*2</f>
        <v>0</v>
      </c>
      <c r="N66" s="307">
        <f>IF('Datos de Proyecto'!G33=0,0,1)</f>
        <v>0</v>
      </c>
    </row>
    <row r="67" spans="2:14">
      <c r="B67" s="303"/>
      <c r="C67" s="301"/>
      <c r="I67" s="306">
        <f>IF('Datos de Proyecto'!G34&lt;&gt;0,VLOOKUP('Datos de Proyecto'!H34,'Calculo de Span'!$A$36:$K$55,10,FALSE),0)*2</f>
        <v>0</v>
      </c>
      <c r="J67" s="301">
        <f>ROUNDUP(+'Calculo de Span'!K49*2/'Datos de Proyecto'!$D$37,0)</f>
        <v>0</v>
      </c>
      <c r="K67" s="307">
        <f>IF('Datos de Proyecto'!G34=0,0,4)</f>
        <v>0</v>
      </c>
      <c r="L67" s="301">
        <f>IF('Datos de Proyecto'!G34=0,0,(('Datos de Proyecto'!H34-1)*2))</f>
        <v>0</v>
      </c>
      <c r="M67" s="301">
        <f>ROUNDDOWN(+'Calculo de Span'!K49/'Datos de Proyecto'!$D$37,0)*2</f>
        <v>0</v>
      </c>
      <c r="N67" s="307">
        <f>IF('Datos de Proyecto'!G34=0,0,1)</f>
        <v>0</v>
      </c>
    </row>
    <row r="68" spans="2:14">
      <c r="B68" s="303"/>
      <c r="C68" s="301"/>
      <c r="I68" s="306">
        <f>IF('Datos de Proyecto'!G35&lt;&gt;0,VLOOKUP('Datos de Proyecto'!H35,'Calculo de Span'!$A$36:$K$55,10,FALSE),0)*2</f>
        <v>0</v>
      </c>
      <c r="J68" s="301">
        <f>ROUNDUP(+'Calculo de Span'!K50*2/'Datos de Proyecto'!$D$37,0)</f>
        <v>0</v>
      </c>
      <c r="K68" s="307">
        <f>IF('Datos de Proyecto'!G35=0,0,4)</f>
        <v>0</v>
      </c>
      <c r="L68" s="301">
        <f>IF('Datos de Proyecto'!G35=0,0,(('Datos de Proyecto'!H35-1)*2))</f>
        <v>0</v>
      </c>
      <c r="M68" s="301">
        <f>ROUNDDOWN(+'Calculo de Span'!K50/'Datos de Proyecto'!$D$37,0)*2</f>
        <v>0</v>
      </c>
      <c r="N68" s="307">
        <f>IF('Datos de Proyecto'!G35=0,0,1)</f>
        <v>0</v>
      </c>
    </row>
    <row r="69" spans="2:14">
      <c r="B69" s="303"/>
      <c r="C69" s="301"/>
      <c r="I69" s="306">
        <f>IF('Datos de Proyecto'!G36&lt;&gt;0,VLOOKUP('Datos de Proyecto'!H36,'Calculo de Span'!$A$36:$K$55,10,FALSE),0)*2</f>
        <v>0</v>
      </c>
      <c r="J69" s="301">
        <f>ROUNDUP(+'Calculo de Span'!K51*2/'Datos de Proyecto'!$D$37,0)</f>
        <v>0</v>
      </c>
      <c r="K69" s="307">
        <f>IF('Datos de Proyecto'!G36=0,0,4)</f>
        <v>0</v>
      </c>
      <c r="L69" s="301">
        <f>IF('Datos de Proyecto'!G36=0,0,(('Datos de Proyecto'!H36-1)*2))</f>
        <v>0</v>
      </c>
      <c r="M69" s="301">
        <f>ROUNDDOWN(+'Calculo de Span'!K51/'Datos de Proyecto'!$D$37,0)*2</f>
        <v>0</v>
      </c>
      <c r="N69" s="307">
        <f>IF('Datos de Proyecto'!G36=0,0,1)</f>
        <v>0</v>
      </c>
    </row>
    <row r="70" spans="2:14">
      <c r="B70" s="303"/>
      <c r="C70" s="301"/>
      <c r="I70" s="306">
        <f>IF('Datos de Proyecto'!G37&lt;&gt;0,VLOOKUP('Datos de Proyecto'!H37,'Calculo de Span'!$A$36:$K$55,10,FALSE),0)*2</f>
        <v>0</v>
      </c>
      <c r="J70" s="301">
        <f>ROUNDUP(+'Calculo de Span'!K52*2/'Datos de Proyecto'!$D$37,0)</f>
        <v>0</v>
      </c>
      <c r="K70" s="307">
        <f>IF('Datos de Proyecto'!G37=0,0,4)</f>
        <v>0</v>
      </c>
      <c r="L70" s="301">
        <f>IF('Datos de Proyecto'!G37=0,0,(('Datos de Proyecto'!H37-1)*2))</f>
        <v>0</v>
      </c>
      <c r="M70" s="301">
        <f>ROUNDDOWN(+'Calculo de Span'!K52/'Datos de Proyecto'!$D$37,0)*2</f>
        <v>0</v>
      </c>
      <c r="N70" s="307">
        <f>IF('Datos de Proyecto'!G37=0,0,1)</f>
        <v>0</v>
      </c>
    </row>
    <row r="71" spans="2:14">
      <c r="B71" s="303"/>
      <c r="C71" s="301"/>
      <c r="I71" s="306">
        <f>IF('Datos de Proyecto'!G38&lt;&gt;0,VLOOKUP('Datos de Proyecto'!H38,'Calculo de Span'!$A$36:$K$55,10,FALSE),0)*2</f>
        <v>0</v>
      </c>
      <c r="J71" s="301">
        <f>ROUNDUP(+'Calculo de Span'!K53*2/'Datos de Proyecto'!$D$37,0)</f>
        <v>0</v>
      </c>
      <c r="K71" s="307">
        <f>IF('Datos de Proyecto'!G38=0,0,4)</f>
        <v>0</v>
      </c>
      <c r="L71" s="301">
        <f>IF('Datos de Proyecto'!G38=0,0,(('Datos de Proyecto'!H38-1)*2))</f>
        <v>0</v>
      </c>
      <c r="M71" s="301">
        <f>ROUNDDOWN(+'Calculo de Span'!K53/'Datos de Proyecto'!$D$37,0)*2</f>
        <v>0</v>
      </c>
      <c r="N71" s="307">
        <f>IF('Datos de Proyecto'!G38=0,0,1)</f>
        <v>0</v>
      </c>
    </row>
    <row r="72" spans="2:14">
      <c r="B72" s="303"/>
      <c r="C72" s="301"/>
      <c r="I72" s="306">
        <f>IF('Datos de Proyecto'!G39&lt;&gt;0,VLOOKUP('Datos de Proyecto'!H39,'Calculo de Span'!$A$36:$K$55,10,FALSE),0)*2</f>
        <v>0</v>
      </c>
      <c r="J72" s="301">
        <f>ROUNDUP(+'Calculo de Span'!K54*2/'Datos de Proyecto'!$D$37,0)</f>
        <v>0</v>
      </c>
      <c r="K72" s="307">
        <f>IF('Datos de Proyecto'!G39=0,0,4)</f>
        <v>0</v>
      </c>
      <c r="L72" s="301">
        <f>IF('Datos de Proyecto'!G39=0,0,(('Datos de Proyecto'!H39-1)*2))</f>
        <v>0</v>
      </c>
      <c r="M72" s="301">
        <f>ROUNDDOWN(+'Calculo de Span'!K54/'Datos de Proyecto'!$D$37,0)*2</f>
        <v>0</v>
      </c>
      <c r="N72" s="307">
        <f>IF('Datos de Proyecto'!G39=0,0,1)</f>
        <v>0</v>
      </c>
    </row>
    <row r="73" spans="2:14">
      <c r="B73" s="303"/>
      <c r="C73" s="301"/>
      <c r="I73" s="316">
        <f>IF('Datos de Proyecto'!G40&lt;&gt;0,VLOOKUP('Datos de Proyecto'!H40,'Calculo de Span'!$A$36:$K$55,10,FALSE),0)*2</f>
        <v>0</v>
      </c>
      <c r="J73" s="302">
        <f>ROUNDUP(+'Calculo de Span'!K55*2/'Datos de Proyecto'!$D$37,0)</f>
        <v>0</v>
      </c>
      <c r="K73" s="315">
        <f>IF('Datos de Proyecto'!G40=0,0,4)</f>
        <v>0</v>
      </c>
      <c r="L73" s="302">
        <f>IF('Datos de Proyecto'!G40=0,0,(('Datos de Proyecto'!H40-1)*2))</f>
        <v>0</v>
      </c>
      <c r="M73" s="302">
        <f>ROUNDDOWN(+'Calculo de Span'!K55/'Datos de Proyecto'!$D$37,0)*2</f>
        <v>0</v>
      </c>
      <c r="N73" s="315">
        <f>IF('Datos de Proyecto'!G40=0,0,1)</f>
        <v>0</v>
      </c>
    </row>
    <row r="74" spans="2:14">
      <c r="B74" s="313"/>
      <c r="C74" s="302"/>
    </row>
    <row r="78" spans="2:14" ht="26.5" customHeight="1"/>
  </sheetData>
  <sheetProtection selectLockedCells="1" selectUnlockedCells="1"/>
  <mergeCells count="8">
    <mergeCell ref="A3:R3"/>
    <mergeCell ref="A27:T27"/>
    <mergeCell ref="I52:N52"/>
    <mergeCell ref="Y4:Z4"/>
    <mergeCell ref="Y6:Z6"/>
    <mergeCell ref="Y7:Z7"/>
    <mergeCell ref="Y5:Z5"/>
    <mergeCell ref="Y9:AA9"/>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9040D-04AC-4AC6-A945-E59F3658D2D6}">
  <sheetPr codeName="Hoja25"/>
  <dimension ref="A1:AH56"/>
  <sheetViews>
    <sheetView showZeros="0" topLeftCell="I6" zoomScale="85" zoomScaleNormal="85" workbookViewId="0">
      <selection activeCell="V20" sqref="V20"/>
    </sheetView>
  </sheetViews>
  <sheetFormatPr defaultColWidth="11.453125" defaultRowHeight="14.5"/>
  <cols>
    <col min="1" max="1" width="13.54296875" customWidth="1"/>
    <col min="2" max="2" width="14.1796875" customWidth="1"/>
    <col min="3" max="3" width="11.81640625" customWidth="1"/>
    <col min="4" max="5" width="14.1796875" customWidth="1"/>
    <col min="9" max="11" width="12.1796875" customWidth="1"/>
    <col min="13" max="13" width="15.81640625" customWidth="1"/>
    <col min="14" max="14" width="12.81640625" customWidth="1"/>
    <col min="23" max="23" width="14.54296875" customWidth="1"/>
  </cols>
  <sheetData>
    <row r="1" spans="1:34">
      <c r="A1" s="221" t="s">
        <v>552</v>
      </c>
      <c r="B1" s="224">
        <f>'Formula de apoyo'!Y5</f>
        <v>1.8524999999999998</v>
      </c>
      <c r="M1" s="221" t="s">
        <v>552</v>
      </c>
      <c r="N1" s="224">
        <f>'Formula de apoyo'!Y6</f>
        <v>1.4</v>
      </c>
      <c r="Y1" s="221" t="s">
        <v>552</v>
      </c>
      <c r="Z1" s="224">
        <f>'Formula de apoyo'!Y6</f>
        <v>1.4</v>
      </c>
    </row>
    <row r="2" spans="1:34">
      <c r="A2" s="221" t="s">
        <v>553</v>
      </c>
      <c r="B2" s="224">
        <f>IF('Datos de Proyecto'!J19="Vertical",'Datos de Proyecto'!D26,'Datos de Proyecto'!D25)</f>
        <v>1.1339999999999999</v>
      </c>
      <c r="M2" s="221" t="s">
        <v>553</v>
      </c>
      <c r="N2" s="224">
        <f>IF('Datos de Proyecto'!M19="Vertical",'Datos de Proyecto'!D26,'Datos de Proyecto'!D25)</f>
        <v>1.1339999999999999</v>
      </c>
      <c r="Y2" s="221" t="s">
        <v>553</v>
      </c>
      <c r="Z2" s="224">
        <f>IF('Datos de Proyecto'!M19="Vertical",'Datos de Proyecto'!D26,'Datos de Proyecto'!D25)</f>
        <v>1.1339999999999999</v>
      </c>
    </row>
    <row r="3" spans="1:34">
      <c r="A3" s="221" t="s">
        <v>554</v>
      </c>
      <c r="B3" s="224">
        <v>0.6</v>
      </c>
      <c r="M3" s="221" t="s">
        <v>554</v>
      </c>
      <c r="N3" s="224">
        <v>0.6</v>
      </c>
      <c r="Y3" s="221" t="s">
        <v>554</v>
      </c>
      <c r="Z3" s="224">
        <v>0.6</v>
      </c>
    </row>
    <row r="4" spans="1:34" ht="29.5" customHeight="1">
      <c r="A4" s="222" t="s">
        <v>555</v>
      </c>
      <c r="B4" s="225">
        <v>1.2699999999999999E-2</v>
      </c>
      <c r="M4" s="222" t="s">
        <v>555</v>
      </c>
      <c r="N4" s="225">
        <v>1.2699999999999999E-2</v>
      </c>
      <c r="Y4" s="222" t="s">
        <v>555</v>
      </c>
      <c r="Z4" s="225">
        <v>1.14E-2</v>
      </c>
    </row>
    <row r="6" spans="1:34" ht="30" customHeight="1">
      <c r="A6" s="621" t="s">
        <v>520</v>
      </c>
      <c r="B6" s="621"/>
      <c r="C6" s="621"/>
      <c r="D6" s="621"/>
      <c r="E6" s="621"/>
      <c r="F6" s="621"/>
      <c r="G6" s="621"/>
      <c r="H6" s="621"/>
      <c r="I6" s="621"/>
      <c r="J6" s="621"/>
      <c r="K6" s="621"/>
      <c r="M6" s="621" t="s">
        <v>556</v>
      </c>
      <c r="N6" s="621"/>
      <c r="O6" s="621"/>
      <c r="P6" s="621"/>
      <c r="Q6" s="621"/>
      <c r="R6" s="621"/>
      <c r="S6" s="621"/>
      <c r="T6" s="621"/>
      <c r="U6" s="621"/>
      <c r="V6" s="621"/>
      <c r="W6" s="621"/>
      <c r="Y6" s="621" t="s">
        <v>557</v>
      </c>
      <c r="Z6" s="621"/>
      <c r="AA6" s="621"/>
      <c r="AB6" s="621"/>
      <c r="AC6" s="621"/>
      <c r="AD6" s="621"/>
      <c r="AE6" s="621"/>
      <c r="AF6" s="621"/>
      <c r="AG6" s="621"/>
      <c r="AH6" s="621"/>
    </row>
    <row r="7" spans="1:34" ht="58">
      <c r="A7" s="354" t="s">
        <v>558</v>
      </c>
      <c r="B7" s="355" t="s">
        <v>559</v>
      </c>
      <c r="C7" s="355" t="s">
        <v>560</v>
      </c>
      <c r="D7" s="355" t="s">
        <v>561</v>
      </c>
      <c r="E7" s="355" t="s">
        <v>562</v>
      </c>
      <c r="F7" s="356" t="s">
        <v>563</v>
      </c>
      <c r="G7" s="356" t="s">
        <v>564</v>
      </c>
      <c r="H7" s="356" t="s">
        <v>565</v>
      </c>
      <c r="I7" s="355" t="s">
        <v>566</v>
      </c>
      <c r="J7" s="355" t="s">
        <v>567</v>
      </c>
      <c r="K7" s="355" t="s">
        <v>568</v>
      </c>
      <c r="M7" s="367" t="s">
        <v>558</v>
      </c>
      <c r="N7" s="368" t="s">
        <v>559</v>
      </c>
      <c r="O7" s="368" t="s">
        <v>560</v>
      </c>
      <c r="P7" s="368" t="s">
        <v>561</v>
      </c>
      <c r="Q7" s="368" t="s">
        <v>562</v>
      </c>
      <c r="R7" s="369" t="s">
        <v>563</v>
      </c>
      <c r="S7" s="369" t="s">
        <v>564</v>
      </c>
      <c r="T7" s="369" t="s">
        <v>565</v>
      </c>
      <c r="U7" s="368" t="s">
        <v>566</v>
      </c>
      <c r="V7" s="368" t="s">
        <v>567</v>
      </c>
      <c r="W7" s="288" t="s">
        <v>569</v>
      </c>
      <c r="Y7" s="227" t="s">
        <v>558</v>
      </c>
      <c r="Z7" s="228" t="s">
        <v>570</v>
      </c>
      <c r="AA7" s="228" t="s">
        <v>560</v>
      </c>
      <c r="AB7" s="228" t="s">
        <v>561</v>
      </c>
      <c r="AC7" s="228" t="s">
        <v>562</v>
      </c>
      <c r="AD7" s="229" t="s">
        <v>563</v>
      </c>
      <c r="AE7" s="229" t="s">
        <v>564</v>
      </c>
      <c r="AF7" s="229" t="s">
        <v>565</v>
      </c>
      <c r="AG7" s="228" t="s">
        <v>566</v>
      </c>
      <c r="AH7" s="231" t="s">
        <v>567</v>
      </c>
    </row>
    <row r="8" spans="1:34">
      <c r="A8" s="358">
        <f>+'Datos de Proyecto'!K21</f>
        <v>0</v>
      </c>
      <c r="B8" s="359">
        <f>IF(A8=0,0,($B$2*A8-$B$3)+((A8+1)*$B$4)+0.1)</f>
        <v>0</v>
      </c>
      <c r="C8" s="357">
        <f>+B8/$B$1</f>
        <v>0</v>
      </c>
      <c r="D8" s="357">
        <f>ROUNDUP(C8+1,0)</f>
        <v>1</v>
      </c>
      <c r="E8" s="357">
        <f>IF(D8&lt;=2,2,ROUNDDOWN(C8,0)+1)</f>
        <v>2</v>
      </c>
      <c r="F8" s="359">
        <f>IF(A8=0,0,+B8/(D8-1))</f>
        <v>0</v>
      </c>
      <c r="G8" s="359">
        <f>IFERROR(IF(A8=0,0,+B8/(E8-1)),B8)</f>
        <v>0</v>
      </c>
      <c r="H8" s="360">
        <f>+G8/$B$1</f>
        <v>0</v>
      </c>
      <c r="I8" s="359">
        <f>IF(H8&lt;1.04,G8,F8)</f>
        <v>0</v>
      </c>
      <c r="J8" s="357">
        <f>IF(H8&lt;1.04,E8,D8)</f>
        <v>2</v>
      </c>
      <c r="K8" s="361">
        <f>IF('Datos de Proyecto'!$K21="",0,($B$2*A8)+((A8+1)*$B$4)+0.1)</f>
        <v>0</v>
      </c>
      <c r="L8">
        <f>IF(K8&gt;24,"Error",0)</f>
        <v>0</v>
      </c>
      <c r="M8" s="358">
        <f>+'Datos de Proyecto'!N21</f>
        <v>0</v>
      </c>
      <c r="N8" s="359">
        <f>IF(M8=0,0,($N$2*M8-$N$3)+((M8+1)*$N$4)+0.1)</f>
        <v>0</v>
      </c>
      <c r="O8" s="357">
        <f>+N8/$N$1</f>
        <v>0</v>
      </c>
      <c r="P8" s="357">
        <f>ROUNDUP(O8+1,0)</f>
        <v>1</v>
      </c>
      <c r="Q8" s="357">
        <f>IF(P8&lt;=2,2,ROUNDDOWN(O8,0)+1)</f>
        <v>2</v>
      </c>
      <c r="R8" s="359">
        <f>IF(M8=0,0,+N8/(P8-1))</f>
        <v>0</v>
      </c>
      <c r="S8" s="359">
        <f>IFERROR(IF(M8=0,0,+N8/(Q8-1)),N8)</f>
        <v>0</v>
      </c>
      <c r="T8" s="360">
        <f>+S8/$N$1</f>
        <v>0</v>
      </c>
      <c r="U8" s="359">
        <f>IF(T8&lt;1.04,S8,R8)</f>
        <v>0</v>
      </c>
      <c r="V8" s="357">
        <f>IF(T8&lt;1.04,Q8,P8)</f>
        <v>2</v>
      </c>
      <c r="W8" s="361">
        <f>IF('Datos de Proyecto'!$N21="",0,($N$2*M8)+((M8+1)*$N$4)+0.1)</f>
        <v>0</v>
      </c>
      <c r="X8">
        <f>IF(W8&gt;24,"Error",0)</f>
        <v>0</v>
      </c>
      <c r="Y8" s="90">
        <v>1</v>
      </c>
      <c r="Z8" s="164">
        <f>($Z$2*Y8-$Z$3)+(Y8*$Z$4)+0.1</f>
        <v>0.64539999999999986</v>
      </c>
      <c r="AA8" s="242">
        <v>1</v>
      </c>
      <c r="AB8" s="91">
        <v>2</v>
      </c>
      <c r="AC8" s="91">
        <v>2</v>
      </c>
      <c r="AD8" s="112" t="s">
        <v>114</v>
      </c>
      <c r="AE8" s="112" t="s">
        <v>114</v>
      </c>
      <c r="AF8" s="223" t="s">
        <v>114</v>
      </c>
      <c r="AG8" s="244"/>
      <c r="AH8" s="237">
        <f>AB8</f>
        <v>2</v>
      </c>
    </row>
    <row r="9" spans="1:34">
      <c r="A9" s="362">
        <f>+'Datos de Proyecto'!K22</f>
        <v>0</v>
      </c>
      <c r="B9" s="363">
        <f t="shared" ref="B9:B27" si="0">IF(A9=0,0,($B$2*A9-$B$3)+((A9+1)*$B$4)+0.1)</f>
        <v>0</v>
      </c>
      <c r="C9" s="364">
        <f>B9/$B$1</f>
        <v>0</v>
      </c>
      <c r="D9" s="364">
        <f t="shared" ref="D9:D26" si="1">ROUNDUP(C9,0)+1</f>
        <v>1</v>
      </c>
      <c r="E9" s="364">
        <f>IF(D9&lt;=2,2,ROUNDDOWN(C9,0)+1)</f>
        <v>2</v>
      </c>
      <c r="F9" s="363">
        <f t="shared" ref="F9:F27" si="2">IF(A9=0,0,+B9/(D9-1))</f>
        <v>0</v>
      </c>
      <c r="G9" s="363">
        <f t="shared" ref="G9:G27" si="3">IFERROR(IF(A9=0,0,+B9/(E9-1)),B9)</f>
        <v>0</v>
      </c>
      <c r="H9" s="365">
        <f t="shared" ref="H9:H27" si="4">+G9/$B$1</f>
        <v>0</v>
      </c>
      <c r="I9" s="363">
        <f t="shared" ref="I9:I27" si="5">IF(H9&lt;1.04,G9,F9)</f>
        <v>0</v>
      </c>
      <c r="J9" s="364">
        <f t="shared" ref="J9:J27" si="6">IF(H9&lt;1.04,E9,D9)</f>
        <v>2</v>
      </c>
      <c r="K9" s="366">
        <f>IF('Datos de Proyecto'!$K22="",0,($B$2*A9)+((A9+1)*$B$4)+0.1)</f>
        <v>0</v>
      </c>
      <c r="L9">
        <f t="shared" ref="L9:L27" si="7">IF(K9&gt;24,"Error",0)</f>
        <v>0</v>
      </c>
      <c r="M9" s="362">
        <f>+'Datos de Proyecto'!N22</f>
        <v>0</v>
      </c>
      <c r="N9" s="363">
        <f t="shared" ref="N9:N27" si="8">IF(M9=0,0,($N$2*M9-$N$3)+((M9+1)*$N$4)+0.1)</f>
        <v>0</v>
      </c>
      <c r="O9" s="364">
        <f t="shared" ref="O9:O27" si="9">+N9/$N$1</f>
        <v>0</v>
      </c>
      <c r="P9" s="364">
        <f t="shared" ref="P9:P27" si="10">ROUNDUP(O9+1,0)</f>
        <v>1</v>
      </c>
      <c r="Q9" s="364">
        <f>IF(P9&lt;=2,2,ROUNDDOWN(O9,0)+1)</f>
        <v>2</v>
      </c>
      <c r="R9" s="363">
        <f t="shared" ref="R9:R27" si="11">IF(M9=0,0,+N9/(P9-1))</f>
        <v>0</v>
      </c>
      <c r="S9" s="363">
        <f t="shared" ref="S9:S27" si="12">IFERROR(IF(M9=0,0,+N9/(Q9-1)),N9)</f>
        <v>0</v>
      </c>
      <c r="T9" s="365">
        <f t="shared" ref="T9:T27" si="13">+S9/$N$1</f>
        <v>0</v>
      </c>
      <c r="U9" s="363">
        <f t="shared" ref="U9:U27" si="14">IF(T9&lt;1.04,S9,R9)</f>
        <v>0</v>
      </c>
      <c r="V9" s="364">
        <f t="shared" ref="V9:V27" si="15">IF(T9&lt;1.04,Q9,P9)</f>
        <v>2</v>
      </c>
      <c r="W9" s="366">
        <f>IF('Datos de Proyecto'!$N22="",0,($N$2*M9)+((M9+1)*$N$4)+0.1)</f>
        <v>0</v>
      </c>
      <c r="X9">
        <f t="shared" ref="X9:X27" si="16">IF(W9&gt;24,"Error",0)</f>
        <v>0</v>
      </c>
      <c r="Y9" s="93">
        <v>2</v>
      </c>
      <c r="Z9" s="232">
        <f t="shared" ref="Z9:Z27" si="17">($Z$2*Y9-$Z$3)+(Y9*$Z$4)+0.1</f>
        <v>1.7907999999999997</v>
      </c>
      <c r="AA9" s="241">
        <f>Z9/$B$1</f>
        <v>0.96669365721997291</v>
      </c>
      <c r="AB9" s="233">
        <f>ROUNDUP(AA9,0)+1</f>
        <v>2</v>
      </c>
      <c r="AC9" s="94">
        <v>2</v>
      </c>
      <c r="AD9" s="232">
        <f>Z9/(AB9-1)</f>
        <v>1.7907999999999997</v>
      </c>
      <c r="AE9" s="232">
        <f>Z9/(AC9-1)</f>
        <v>1.7907999999999997</v>
      </c>
      <c r="AF9" s="234">
        <f>(AE9-$N$1)</f>
        <v>0.39079999999999981</v>
      </c>
      <c r="AG9" s="232">
        <f>IF(AF9&lt;0.04,AE9,AD9)</f>
        <v>1.7907999999999997</v>
      </c>
      <c r="AH9" s="238">
        <f>IF(AF9&lt;0.04,AC9,AB9)</f>
        <v>2</v>
      </c>
    </row>
    <row r="10" spans="1:34">
      <c r="A10" s="358">
        <f>+'Datos de Proyecto'!K23</f>
        <v>0</v>
      </c>
      <c r="B10" s="359">
        <f t="shared" si="0"/>
        <v>0</v>
      </c>
      <c r="C10" s="357">
        <f>B10/$B$1</f>
        <v>0</v>
      </c>
      <c r="D10" s="357">
        <f>ROUNDUP(C10,0)+1</f>
        <v>1</v>
      </c>
      <c r="E10" s="357">
        <f>ROUNDDOWN(C10,0)+1</f>
        <v>1</v>
      </c>
      <c r="F10" s="359">
        <f t="shared" si="2"/>
        <v>0</v>
      </c>
      <c r="G10" s="359">
        <f t="shared" si="3"/>
        <v>0</v>
      </c>
      <c r="H10" s="360">
        <f t="shared" si="4"/>
        <v>0</v>
      </c>
      <c r="I10" s="359">
        <f t="shared" si="5"/>
        <v>0</v>
      </c>
      <c r="J10" s="357">
        <f t="shared" si="6"/>
        <v>1</v>
      </c>
      <c r="K10" s="361">
        <f>IF('Datos de Proyecto'!$K23="",0,($B$2*A10)+((A10+1)*$B$4)+0.1)</f>
        <v>0</v>
      </c>
      <c r="L10">
        <f t="shared" si="7"/>
        <v>0</v>
      </c>
      <c r="M10" s="358">
        <f>+'Datos de Proyecto'!N23</f>
        <v>0</v>
      </c>
      <c r="N10" s="359">
        <f t="shared" si="8"/>
        <v>0</v>
      </c>
      <c r="O10" s="357">
        <f t="shared" si="9"/>
        <v>0</v>
      </c>
      <c r="P10" s="357">
        <f t="shared" si="10"/>
        <v>1</v>
      </c>
      <c r="Q10" s="357">
        <f>ROUNDDOWN(O10,0)+1</f>
        <v>1</v>
      </c>
      <c r="R10" s="359">
        <f t="shared" si="11"/>
        <v>0</v>
      </c>
      <c r="S10" s="359">
        <f t="shared" si="12"/>
        <v>0</v>
      </c>
      <c r="T10" s="360">
        <f t="shared" si="13"/>
        <v>0</v>
      </c>
      <c r="U10" s="359">
        <f t="shared" si="14"/>
        <v>0</v>
      </c>
      <c r="V10" s="357">
        <f t="shared" si="15"/>
        <v>1</v>
      </c>
      <c r="W10" s="361">
        <f>IF('Datos de Proyecto'!$N23="",0,($N$2*M10)+((M10+1)*$N$4)+0.1)</f>
        <v>0</v>
      </c>
      <c r="X10">
        <f t="shared" si="16"/>
        <v>0</v>
      </c>
      <c r="Y10" s="90">
        <v>3</v>
      </c>
      <c r="Z10" s="164">
        <f t="shared" si="17"/>
        <v>2.9361999999999995</v>
      </c>
      <c r="AA10" s="242">
        <f>Z10/$N$1</f>
        <v>2.097285714285714</v>
      </c>
      <c r="AB10" s="226">
        <f>ROUNDUP(AA10,0)+1</f>
        <v>4</v>
      </c>
      <c r="AC10" s="226">
        <f>ROUNDDOWN(AA10,0)+1</f>
        <v>3</v>
      </c>
      <c r="AD10" s="164">
        <f>Z10/(AB10-1)</f>
        <v>0.97873333333333312</v>
      </c>
      <c r="AE10" s="164">
        <f>Z10/(AC10-1)</f>
        <v>1.4680999999999997</v>
      </c>
      <c r="AF10" s="230">
        <f>(AE10-$N$1)</f>
        <v>6.8099999999999827E-2</v>
      </c>
      <c r="AG10" s="164">
        <f>IF(AF10&lt;0.04,AE10,AD10)</f>
        <v>0.97873333333333312</v>
      </c>
      <c r="AH10" s="240">
        <f>IF(AF10&lt;0.04,AC10,AB10)</f>
        <v>4</v>
      </c>
    </row>
    <row r="11" spans="1:34">
      <c r="A11" s="362">
        <f>+'Datos de Proyecto'!K24</f>
        <v>0</v>
      </c>
      <c r="B11" s="363">
        <f t="shared" si="0"/>
        <v>0</v>
      </c>
      <c r="C11" s="364">
        <f>B11/$B$1</f>
        <v>0</v>
      </c>
      <c r="D11" s="364">
        <f t="shared" si="1"/>
        <v>1</v>
      </c>
      <c r="E11" s="364">
        <f>ROUNDDOWN(C11,0)+1</f>
        <v>1</v>
      </c>
      <c r="F11" s="363">
        <f t="shared" si="2"/>
        <v>0</v>
      </c>
      <c r="G11" s="363">
        <f t="shared" si="3"/>
        <v>0</v>
      </c>
      <c r="H11" s="365">
        <f t="shared" si="4"/>
        <v>0</v>
      </c>
      <c r="I11" s="363">
        <f t="shared" si="5"/>
        <v>0</v>
      </c>
      <c r="J11" s="364">
        <f t="shared" si="6"/>
        <v>1</v>
      </c>
      <c r="K11" s="366">
        <f>IF('Datos de Proyecto'!$K24="",0,($B$2*A11)+((A11+1)*$B$4)+0.1)</f>
        <v>0</v>
      </c>
      <c r="L11">
        <f t="shared" si="7"/>
        <v>0</v>
      </c>
      <c r="M11" s="362">
        <f>+'Datos de Proyecto'!N24</f>
        <v>0</v>
      </c>
      <c r="N11" s="363">
        <f t="shared" si="8"/>
        <v>0</v>
      </c>
      <c r="O11" s="364">
        <f t="shared" si="9"/>
        <v>0</v>
      </c>
      <c r="P11" s="364">
        <f t="shared" si="10"/>
        <v>1</v>
      </c>
      <c r="Q11" s="364">
        <f t="shared" ref="Q11:Q27" si="18">ROUNDDOWN(O11,0)+1</f>
        <v>1</v>
      </c>
      <c r="R11" s="363">
        <f t="shared" si="11"/>
        <v>0</v>
      </c>
      <c r="S11" s="363">
        <f t="shared" si="12"/>
        <v>0</v>
      </c>
      <c r="T11" s="365">
        <f t="shared" si="13"/>
        <v>0</v>
      </c>
      <c r="U11" s="363">
        <f t="shared" si="14"/>
        <v>0</v>
      </c>
      <c r="V11" s="364">
        <f t="shared" si="15"/>
        <v>1</v>
      </c>
      <c r="W11" s="366">
        <f>IF('Datos de Proyecto'!$N24="",0,($N$2*M11)+((M11+1)*$N$4)+0.1)</f>
        <v>0</v>
      </c>
      <c r="X11">
        <f t="shared" si="16"/>
        <v>0</v>
      </c>
      <c r="Y11" s="93">
        <v>4</v>
      </c>
      <c r="Z11" s="232">
        <f t="shared" si="17"/>
        <v>4.081599999999999</v>
      </c>
      <c r="AA11" s="241">
        <f t="shared" ref="AA11:AA27" si="19">Z11/$N$1</f>
        <v>2.915428571428571</v>
      </c>
      <c r="AB11" s="94">
        <f t="shared" ref="AB11:AB16" si="20">ROUNDUP(AA11,0)+1</f>
        <v>4</v>
      </c>
      <c r="AC11" s="94">
        <f t="shared" ref="AC11:AC27" si="21">ROUNDDOWN(AA11,0)+1</f>
        <v>3</v>
      </c>
      <c r="AD11" s="232">
        <f t="shared" ref="AD11:AD27" si="22">Z11/(AB11)</f>
        <v>1.0203999999999998</v>
      </c>
      <c r="AE11" s="232">
        <f t="shared" ref="AE11:AE27" si="23">Z11/(AC11-1)</f>
        <v>2.0407999999999995</v>
      </c>
      <c r="AF11" s="234">
        <f t="shared" ref="AF11:AF27" si="24">(AE11-$N$1)</f>
        <v>0.64079999999999959</v>
      </c>
      <c r="AG11" s="232">
        <f t="shared" ref="AG11:AG27" si="25">IF(AF11&lt;0.04,AE11,AD11)</f>
        <v>1.0203999999999998</v>
      </c>
      <c r="AH11" s="238">
        <f t="shared" ref="AH11:AH25" si="26">IF(AF11&lt;0.04,AC11,AB11)</f>
        <v>4</v>
      </c>
    </row>
    <row r="12" spans="1:34">
      <c r="A12" s="358">
        <f>+'Datos de Proyecto'!K25</f>
        <v>0</v>
      </c>
      <c r="B12" s="359">
        <f t="shared" si="0"/>
        <v>0</v>
      </c>
      <c r="C12" s="357">
        <f t="shared" ref="C12:C27" si="27">B12/$B$1</f>
        <v>0</v>
      </c>
      <c r="D12" s="357">
        <f t="shared" si="1"/>
        <v>1</v>
      </c>
      <c r="E12" s="357">
        <f t="shared" ref="E12:E27" si="28">ROUNDDOWN(C12,0)+1</f>
        <v>1</v>
      </c>
      <c r="F12" s="359">
        <f t="shared" si="2"/>
        <v>0</v>
      </c>
      <c r="G12" s="359">
        <f t="shared" si="3"/>
        <v>0</v>
      </c>
      <c r="H12" s="360">
        <f t="shared" si="4"/>
        <v>0</v>
      </c>
      <c r="I12" s="359">
        <f t="shared" si="5"/>
        <v>0</v>
      </c>
      <c r="J12" s="357">
        <f t="shared" si="6"/>
        <v>1</v>
      </c>
      <c r="K12" s="361">
        <f>IF('Datos de Proyecto'!$K25="",0,($B$2*A12)+((A12+1)*$B$4)+0.1)</f>
        <v>0</v>
      </c>
      <c r="L12">
        <f t="shared" si="7"/>
        <v>0</v>
      </c>
      <c r="M12" s="358">
        <f>+'Datos de Proyecto'!N25</f>
        <v>0</v>
      </c>
      <c r="N12" s="359">
        <f t="shared" si="8"/>
        <v>0</v>
      </c>
      <c r="O12" s="357">
        <f t="shared" si="9"/>
        <v>0</v>
      </c>
      <c r="P12" s="357">
        <f t="shared" si="10"/>
        <v>1</v>
      </c>
      <c r="Q12" s="357">
        <f t="shared" si="18"/>
        <v>1</v>
      </c>
      <c r="R12" s="359">
        <f t="shared" si="11"/>
        <v>0</v>
      </c>
      <c r="S12" s="359">
        <f t="shared" si="12"/>
        <v>0</v>
      </c>
      <c r="T12" s="360">
        <f t="shared" si="13"/>
        <v>0</v>
      </c>
      <c r="U12" s="359">
        <f t="shared" si="14"/>
        <v>0</v>
      </c>
      <c r="V12" s="357">
        <f t="shared" si="15"/>
        <v>1</v>
      </c>
      <c r="W12" s="361">
        <f>IF('Datos de Proyecto'!$N25="",0,($N$2*M12)+((M12+1)*$N$4)+0.1)</f>
        <v>0</v>
      </c>
      <c r="X12">
        <f t="shared" si="16"/>
        <v>0</v>
      </c>
      <c r="Y12" s="90">
        <v>5</v>
      </c>
      <c r="Z12" s="164">
        <f t="shared" si="17"/>
        <v>5.2270000000000003</v>
      </c>
      <c r="AA12" s="242">
        <f t="shared" si="19"/>
        <v>3.733571428571429</v>
      </c>
      <c r="AB12" s="91">
        <f t="shared" si="20"/>
        <v>5</v>
      </c>
      <c r="AC12" s="91">
        <f t="shared" si="21"/>
        <v>4</v>
      </c>
      <c r="AD12" s="164">
        <f t="shared" si="22"/>
        <v>1.0454000000000001</v>
      </c>
      <c r="AE12" s="164">
        <f t="shared" si="23"/>
        <v>1.7423333333333335</v>
      </c>
      <c r="AF12" s="230">
        <f t="shared" si="24"/>
        <v>0.3423333333333336</v>
      </c>
      <c r="AG12" s="164">
        <f t="shared" si="25"/>
        <v>1.0454000000000001</v>
      </c>
      <c r="AH12" s="240">
        <f t="shared" si="26"/>
        <v>5</v>
      </c>
    </row>
    <row r="13" spans="1:34">
      <c r="A13" s="362">
        <f>+'Datos de Proyecto'!K26</f>
        <v>0</v>
      </c>
      <c r="B13" s="363">
        <f t="shared" si="0"/>
        <v>0</v>
      </c>
      <c r="C13" s="364">
        <f t="shared" si="27"/>
        <v>0</v>
      </c>
      <c r="D13" s="364">
        <f t="shared" si="1"/>
        <v>1</v>
      </c>
      <c r="E13" s="364">
        <f t="shared" si="28"/>
        <v>1</v>
      </c>
      <c r="F13" s="363">
        <f t="shared" si="2"/>
        <v>0</v>
      </c>
      <c r="G13" s="363">
        <f t="shared" si="3"/>
        <v>0</v>
      </c>
      <c r="H13" s="365">
        <f t="shared" si="4"/>
        <v>0</v>
      </c>
      <c r="I13" s="363">
        <f t="shared" si="5"/>
        <v>0</v>
      </c>
      <c r="J13" s="364">
        <f t="shared" si="6"/>
        <v>1</v>
      </c>
      <c r="K13" s="366">
        <f>IF('Datos de Proyecto'!$K26="",0,($B$2*A13)+((A13+1)*$B$4)+0.1)</f>
        <v>0</v>
      </c>
      <c r="L13">
        <f t="shared" si="7"/>
        <v>0</v>
      </c>
      <c r="M13" s="362">
        <f>+'Datos de Proyecto'!N26</f>
        <v>0</v>
      </c>
      <c r="N13" s="363">
        <f t="shared" si="8"/>
        <v>0</v>
      </c>
      <c r="O13" s="364">
        <f t="shared" si="9"/>
        <v>0</v>
      </c>
      <c r="P13" s="364">
        <f t="shared" si="10"/>
        <v>1</v>
      </c>
      <c r="Q13" s="364">
        <f t="shared" si="18"/>
        <v>1</v>
      </c>
      <c r="R13" s="363">
        <f t="shared" si="11"/>
        <v>0</v>
      </c>
      <c r="S13" s="363">
        <f t="shared" si="12"/>
        <v>0</v>
      </c>
      <c r="T13" s="365">
        <f t="shared" si="13"/>
        <v>0</v>
      </c>
      <c r="U13" s="363">
        <f t="shared" si="14"/>
        <v>0</v>
      </c>
      <c r="V13" s="364">
        <f t="shared" si="15"/>
        <v>1</v>
      </c>
      <c r="W13" s="366">
        <f>IF('Datos de Proyecto'!$N26="",0,($N$2*M13)+((M13+1)*$N$4)+0.1)</f>
        <v>0</v>
      </c>
      <c r="X13">
        <f t="shared" si="16"/>
        <v>0</v>
      </c>
      <c r="Y13" s="93">
        <v>6</v>
      </c>
      <c r="Z13" s="232">
        <f t="shared" si="17"/>
        <v>6.372399999999999</v>
      </c>
      <c r="AA13" s="241">
        <f t="shared" si="19"/>
        <v>4.5517142857142856</v>
      </c>
      <c r="AB13" s="94">
        <f t="shared" si="20"/>
        <v>6</v>
      </c>
      <c r="AC13" s="94">
        <f t="shared" si="21"/>
        <v>5</v>
      </c>
      <c r="AD13" s="232">
        <f t="shared" si="22"/>
        <v>1.0620666666666665</v>
      </c>
      <c r="AE13" s="232">
        <f t="shared" si="23"/>
        <v>1.5930999999999997</v>
      </c>
      <c r="AF13" s="234">
        <f t="shared" si="24"/>
        <v>0.19309999999999983</v>
      </c>
      <c r="AG13" s="232">
        <f t="shared" si="25"/>
        <v>1.0620666666666665</v>
      </c>
      <c r="AH13" s="238">
        <f t="shared" si="26"/>
        <v>6</v>
      </c>
    </row>
    <row r="14" spans="1:34">
      <c r="A14" s="358">
        <f>+'Datos de Proyecto'!K27</f>
        <v>0</v>
      </c>
      <c r="B14" s="359">
        <f t="shared" si="0"/>
        <v>0</v>
      </c>
      <c r="C14" s="357">
        <f t="shared" si="27"/>
        <v>0</v>
      </c>
      <c r="D14" s="357">
        <f t="shared" si="1"/>
        <v>1</v>
      </c>
      <c r="E14" s="357">
        <f t="shared" si="28"/>
        <v>1</v>
      </c>
      <c r="F14" s="359">
        <f t="shared" si="2"/>
        <v>0</v>
      </c>
      <c r="G14" s="359">
        <f t="shared" si="3"/>
        <v>0</v>
      </c>
      <c r="H14" s="360">
        <f t="shared" si="4"/>
        <v>0</v>
      </c>
      <c r="I14" s="359">
        <f t="shared" si="5"/>
        <v>0</v>
      </c>
      <c r="J14" s="357">
        <f t="shared" si="6"/>
        <v>1</v>
      </c>
      <c r="K14" s="361">
        <f>IF('Datos de Proyecto'!$K27="",0,($B$2*A14)+((A14+1)*$B$4)+0.1)</f>
        <v>0</v>
      </c>
      <c r="L14">
        <f t="shared" si="7"/>
        <v>0</v>
      </c>
      <c r="M14" s="358">
        <f>+'Datos de Proyecto'!N27</f>
        <v>0</v>
      </c>
      <c r="N14" s="359">
        <f t="shared" si="8"/>
        <v>0</v>
      </c>
      <c r="O14" s="357">
        <f t="shared" si="9"/>
        <v>0</v>
      </c>
      <c r="P14" s="357">
        <f t="shared" si="10"/>
        <v>1</v>
      </c>
      <c r="Q14" s="357">
        <f t="shared" si="18"/>
        <v>1</v>
      </c>
      <c r="R14" s="359">
        <f t="shared" si="11"/>
        <v>0</v>
      </c>
      <c r="S14" s="359">
        <f t="shared" si="12"/>
        <v>0</v>
      </c>
      <c r="T14" s="360">
        <f t="shared" si="13"/>
        <v>0</v>
      </c>
      <c r="U14" s="359">
        <f t="shared" si="14"/>
        <v>0</v>
      </c>
      <c r="V14" s="357">
        <f t="shared" si="15"/>
        <v>1</v>
      </c>
      <c r="W14" s="361">
        <f>IF('Datos de Proyecto'!$N27="",0,($N$2*M14)+((M14+1)*$N$4)+0.1)</f>
        <v>0</v>
      </c>
      <c r="X14">
        <f t="shared" si="16"/>
        <v>0</v>
      </c>
      <c r="Y14" s="90">
        <v>7</v>
      </c>
      <c r="Z14" s="164">
        <f t="shared" si="17"/>
        <v>7.5177999999999985</v>
      </c>
      <c r="AA14" s="242">
        <f t="shared" si="19"/>
        <v>5.3698571428571418</v>
      </c>
      <c r="AB14" s="91">
        <f t="shared" si="20"/>
        <v>7</v>
      </c>
      <c r="AC14" s="91">
        <f t="shared" si="21"/>
        <v>6</v>
      </c>
      <c r="AD14" s="164">
        <f t="shared" si="22"/>
        <v>1.0739714285714284</v>
      </c>
      <c r="AE14" s="164">
        <f t="shared" si="23"/>
        <v>1.5035599999999998</v>
      </c>
      <c r="AF14" s="230">
        <f t="shared" si="24"/>
        <v>0.10355999999999987</v>
      </c>
      <c r="AG14" s="164">
        <f t="shared" si="25"/>
        <v>1.0739714285714284</v>
      </c>
      <c r="AH14" s="240">
        <f t="shared" si="26"/>
        <v>7</v>
      </c>
    </row>
    <row r="15" spans="1:34">
      <c r="A15" s="362">
        <f>+'Datos de Proyecto'!K28</f>
        <v>0</v>
      </c>
      <c r="B15" s="363">
        <f t="shared" si="0"/>
        <v>0</v>
      </c>
      <c r="C15" s="364">
        <f t="shared" si="27"/>
        <v>0</v>
      </c>
      <c r="D15" s="364">
        <f t="shared" si="1"/>
        <v>1</v>
      </c>
      <c r="E15" s="364">
        <f t="shared" si="28"/>
        <v>1</v>
      </c>
      <c r="F15" s="363">
        <f t="shared" si="2"/>
        <v>0</v>
      </c>
      <c r="G15" s="363">
        <f t="shared" si="3"/>
        <v>0</v>
      </c>
      <c r="H15" s="365">
        <f t="shared" si="4"/>
        <v>0</v>
      </c>
      <c r="I15" s="363">
        <f t="shared" si="5"/>
        <v>0</v>
      </c>
      <c r="J15" s="364">
        <f t="shared" si="6"/>
        <v>1</v>
      </c>
      <c r="K15" s="366">
        <f>IF('Datos de Proyecto'!$K28="",0,($B$2*A15)+((A15+1)*$B$4)+0.1)</f>
        <v>0</v>
      </c>
      <c r="L15">
        <f t="shared" si="7"/>
        <v>0</v>
      </c>
      <c r="M15" s="362">
        <f>+'Datos de Proyecto'!N28</f>
        <v>0</v>
      </c>
      <c r="N15" s="363">
        <f t="shared" si="8"/>
        <v>0</v>
      </c>
      <c r="O15" s="364">
        <f t="shared" si="9"/>
        <v>0</v>
      </c>
      <c r="P15" s="364">
        <f t="shared" si="10"/>
        <v>1</v>
      </c>
      <c r="Q15" s="364">
        <f t="shared" si="18"/>
        <v>1</v>
      </c>
      <c r="R15" s="363">
        <f t="shared" si="11"/>
        <v>0</v>
      </c>
      <c r="S15" s="363">
        <f t="shared" si="12"/>
        <v>0</v>
      </c>
      <c r="T15" s="365">
        <f t="shared" si="13"/>
        <v>0</v>
      </c>
      <c r="U15" s="363">
        <f t="shared" si="14"/>
        <v>0</v>
      </c>
      <c r="V15" s="364">
        <f t="shared" si="15"/>
        <v>1</v>
      </c>
      <c r="W15" s="366">
        <f>IF('Datos de Proyecto'!$N28="",0,($N$2*M15)+((M15+1)*$N$4)+0.1)</f>
        <v>0</v>
      </c>
      <c r="X15">
        <f t="shared" si="16"/>
        <v>0</v>
      </c>
      <c r="Y15" s="93">
        <v>8</v>
      </c>
      <c r="Z15" s="232">
        <f t="shared" si="17"/>
        <v>8.6631999999999998</v>
      </c>
      <c r="AA15" s="241">
        <f t="shared" si="19"/>
        <v>6.1880000000000006</v>
      </c>
      <c r="AB15" s="94">
        <f t="shared" si="20"/>
        <v>8</v>
      </c>
      <c r="AC15" s="94">
        <f t="shared" si="21"/>
        <v>7</v>
      </c>
      <c r="AD15" s="232">
        <f t="shared" si="22"/>
        <v>1.0829</v>
      </c>
      <c r="AE15" s="232">
        <f t="shared" si="23"/>
        <v>1.4438666666666666</v>
      </c>
      <c r="AF15" s="234">
        <f t="shared" si="24"/>
        <v>4.386666666666672E-2</v>
      </c>
      <c r="AG15" s="232">
        <f t="shared" si="25"/>
        <v>1.0829</v>
      </c>
      <c r="AH15" s="238">
        <f t="shared" si="26"/>
        <v>8</v>
      </c>
    </row>
    <row r="16" spans="1:34">
      <c r="A16" s="358">
        <f>+'Datos de Proyecto'!K29</f>
        <v>0</v>
      </c>
      <c r="B16" s="359">
        <f t="shared" si="0"/>
        <v>0</v>
      </c>
      <c r="C16" s="357">
        <f t="shared" si="27"/>
        <v>0</v>
      </c>
      <c r="D16" s="357">
        <f t="shared" si="1"/>
        <v>1</v>
      </c>
      <c r="E16" s="357">
        <f t="shared" si="28"/>
        <v>1</v>
      </c>
      <c r="F16" s="359">
        <f t="shared" si="2"/>
        <v>0</v>
      </c>
      <c r="G16" s="359">
        <f t="shared" si="3"/>
        <v>0</v>
      </c>
      <c r="H16" s="360">
        <f t="shared" si="4"/>
        <v>0</v>
      </c>
      <c r="I16" s="359">
        <f t="shared" si="5"/>
        <v>0</v>
      </c>
      <c r="J16" s="357">
        <f t="shared" si="6"/>
        <v>1</v>
      </c>
      <c r="K16" s="361">
        <f>IF('Datos de Proyecto'!$K29="",0,($B$2*A16)+((A16+1)*$B$4)+0.1)</f>
        <v>0</v>
      </c>
      <c r="L16">
        <f t="shared" si="7"/>
        <v>0</v>
      </c>
      <c r="M16" s="358">
        <f>+'Datos de Proyecto'!N29</f>
        <v>0</v>
      </c>
      <c r="N16" s="359">
        <f t="shared" si="8"/>
        <v>0</v>
      </c>
      <c r="O16" s="357">
        <f t="shared" si="9"/>
        <v>0</v>
      </c>
      <c r="P16" s="357">
        <f t="shared" si="10"/>
        <v>1</v>
      </c>
      <c r="Q16" s="357">
        <f t="shared" si="18"/>
        <v>1</v>
      </c>
      <c r="R16" s="359">
        <f t="shared" si="11"/>
        <v>0</v>
      </c>
      <c r="S16" s="359">
        <f t="shared" si="12"/>
        <v>0</v>
      </c>
      <c r="T16" s="360">
        <f t="shared" si="13"/>
        <v>0</v>
      </c>
      <c r="U16" s="359">
        <f t="shared" si="14"/>
        <v>0</v>
      </c>
      <c r="V16" s="357">
        <f t="shared" si="15"/>
        <v>1</v>
      </c>
      <c r="W16" s="361">
        <f>IF('Datos de Proyecto'!$N29="",0,($N$2*M16)+((M16+1)*$N$4)+0.1)</f>
        <v>0</v>
      </c>
      <c r="X16">
        <f t="shared" si="16"/>
        <v>0</v>
      </c>
      <c r="Y16" s="90">
        <v>9</v>
      </c>
      <c r="Z16" s="164">
        <f t="shared" si="17"/>
        <v>9.8086000000000002</v>
      </c>
      <c r="AA16" s="242">
        <f t="shared" si="19"/>
        <v>7.0061428571428577</v>
      </c>
      <c r="AB16" s="91">
        <f t="shared" si="20"/>
        <v>9</v>
      </c>
      <c r="AC16" s="91">
        <f t="shared" si="21"/>
        <v>8</v>
      </c>
      <c r="AD16" s="164">
        <f t="shared" si="22"/>
        <v>1.0898444444444444</v>
      </c>
      <c r="AE16" s="164">
        <f t="shared" si="23"/>
        <v>1.4012285714285715</v>
      </c>
      <c r="AF16" s="230">
        <f t="shared" si="24"/>
        <v>1.2285714285715787E-3</v>
      </c>
      <c r="AG16" s="164">
        <f t="shared" si="25"/>
        <v>1.4012285714285715</v>
      </c>
      <c r="AH16" s="240">
        <f t="shared" si="26"/>
        <v>8</v>
      </c>
    </row>
    <row r="17" spans="1:34">
      <c r="A17" s="362">
        <f>+'Datos de Proyecto'!K30</f>
        <v>0</v>
      </c>
      <c r="B17" s="363">
        <f t="shared" si="0"/>
        <v>0</v>
      </c>
      <c r="C17" s="364">
        <f t="shared" si="27"/>
        <v>0</v>
      </c>
      <c r="D17" s="364">
        <f>ROUNDUP(C17,0)+1</f>
        <v>1</v>
      </c>
      <c r="E17" s="364">
        <f t="shared" si="28"/>
        <v>1</v>
      </c>
      <c r="F17" s="363">
        <f t="shared" si="2"/>
        <v>0</v>
      </c>
      <c r="G17" s="363">
        <f t="shared" si="3"/>
        <v>0</v>
      </c>
      <c r="H17" s="365">
        <f t="shared" si="4"/>
        <v>0</v>
      </c>
      <c r="I17" s="363">
        <f t="shared" si="5"/>
        <v>0</v>
      </c>
      <c r="J17" s="364">
        <f t="shared" si="6"/>
        <v>1</v>
      </c>
      <c r="K17" s="366">
        <f>IF('Datos de Proyecto'!$K30="",0,($B$2*A17)+((A17+1)*$B$4)+0.1)</f>
        <v>0</v>
      </c>
      <c r="L17">
        <f t="shared" si="7"/>
        <v>0</v>
      </c>
      <c r="M17" s="362">
        <f>+'Datos de Proyecto'!N30</f>
        <v>0</v>
      </c>
      <c r="N17" s="363">
        <f t="shared" si="8"/>
        <v>0</v>
      </c>
      <c r="O17" s="364">
        <f t="shared" si="9"/>
        <v>0</v>
      </c>
      <c r="P17" s="364">
        <f t="shared" si="10"/>
        <v>1</v>
      </c>
      <c r="Q17" s="364">
        <f t="shared" si="18"/>
        <v>1</v>
      </c>
      <c r="R17" s="363">
        <f t="shared" si="11"/>
        <v>0</v>
      </c>
      <c r="S17" s="363">
        <f t="shared" si="12"/>
        <v>0</v>
      </c>
      <c r="T17" s="365">
        <f t="shared" si="13"/>
        <v>0</v>
      </c>
      <c r="U17" s="363">
        <f t="shared" si="14"/>
        <v>0</v>
      </c>
      <c r="V17" s="364">
        <f t="shared" si="15"/>
        <v>1</v>
      </c>
      <c r="W17" s="366">
        <f>IF('Datos de Proyecto'!$N30="",0,($N$2*M17)+((M17+1)*$N$4)+0.1)</f>
        <v>0</v>
      </c>
      <c r="X17">
        <f t="shared" si="16"/>
        <v>0</v>
      </c>
      <c r="Y17" s="93">
        <v>10</v>
      </c>
      <c r="Z17" s="232">
        <f t="shared" si="17"/>
        <v>10.954000000000001</v>
      </c>
      <c r="AA17" s="241">
        <f t="shared" si="19"/>
        <v>7.8242857142857156</v>
      </c>
      <c r="AB17" s="94">
        <f>ROUNDUP(AA17,0)+1</f>
        <v>9</v>
      </c>
      <c r="AC17" s="94">
        <f t="shared" si="21"/>
        <v>8</v>
      </c>
      <c r="AD17" s="232">
        <f t="shared" si="22"/>
        <v>1.2171111111111113</v>
      </c>
      <c r="AE17" s="232">
        <f t="shared" si="23"/>
        <v>1.5648571428571429</v>
      </c>
      <c r="AF17" s="234">
        <f t="shared" si="24"/>
        <v>0.16485714285714304</v>
      </c>
      <c r="AG17" s="232">
        <f t="shared" si="25"/>
        <v>1.2171111111111113</v>
      </c>
      <c r="AH17" s="238">
        <f t="shared" si="26"/>
        <v>9</v>
      </c>
    </row>
    <row r="18" spans="1:34">
      <c r="A18" s="358">
        <f>+'Datos de Proyecto'!K31</f>
        <v>0</v>
      </c>
      <c r="B18" s="359">
        <f t="shared" si="0"/>
        <v>0</v>
      </c>
      <c r="C18" s="357">
        <f t="shared" si="27"/>
        <v>0</v>
      </c>
      <c r="D18" s="357">
        <f t="shared" si="1"/>
        <v>1</v>
      </c>
      <c r="E18" s="357">
        <f t="shared" si="28"/>
        <v>1</v>
      </c>
      <c r="F18" s="359">
        <f t="shared" si="2"/>
        <v>0</v>
      </c>
      <c r="G18" s="359">
        <f t="shared" si="3"/>
        <v>0</v>
      </c>
      <c r="H18" s="360">
        <f t="shared" si="4"/>
        <v>0</v>
      </c>
      <c r="I18" s="359">
        <f t="shared" si="5"/>
        <v>0</v>
      </c>
      <c r="J18" s="357">
        <f t="shared" si="6"/>
        <v>1</v>
      </c>
      <c r="K18" s="361">
        <f>IF('Datos de Proyecto'!$K31="",0,($B$2*A18)+((A18+1)*$B$4)+0.1)</f>
        <v>0</v>
      </c>
      <c r="L18">
        <f t="shared" si="7"/>
        <v>0</v>
      </c>
      <c r="M18" s="358">
        <f>+'Datos de Proyecto'!N31</f>
        <v>0</v>
      </c>
      <c r="N18" s="359">
        <f t="shared" si="8"/>
        <v>0</v>
      </c>
      <c r="O18" s="357">
        <f t="shared" si="9"/>
        <v>0</v>
      </c>
      <c r="P18" s="357">
        <f t="shared" si="10"/>
        <v>1</v>
      </c>
      <c r="Q18" s="357">
        <f t="shared" si="18"/>
        <v>1</v>
      </c>
      <c r="R18" s="359">
        <f t="shared" si="11"/>
        <v>0</v>
      </c>
      <c r="S18" s="359">
        <f t="shared" si="12"/>
        <v>0</v>
      </c>
      <c r="T18" s="360">
        <f t="shared" si="13"/>
        <v>0</v>
      </c>
      <c r="U18" s="359">
        <f t="shared" si="14"/>
        <v>0</v>
      </c>
      <c r="V18" s="357">
        <f t="shared" si="15"/>
        <v>1</v>
      </c>
      <c r="W18" s="361">
        <f>IF('Datos de Proyecto'!$N31="",0,($N$2*M18)+((M18+1)*$N$4)+0.1)</f>
        <v>0</v>
      </c>
      <c r="X18">
        <f t="shared" si="16"/>
        <v>0</v>
      </c>
      <c r="Y18" s="90">
        <v>11</v>
      </c>
      <c r="Z18" s="164">
        <f t="shared" si="17"/>
        <v>12.099399999999999</v>
      </c>
      <c r="AA18" s="242">
        <f t="shared" si="19"/>
        <v>8.6424285714285709</v>
      </c>
      <c r="AB18" s="91">
        <f t="shared" ref="AB18:AB26" si="29">ROUNDUP(AA18,0)+1</f>
        <v>10</v>
      </c>
      <c r="AC18" s="91">
        <f t="shared" si="21"/>
        <v>9</v>
      </c>
      <c r="AD18" s="164">
        <f t="shared" si="22"/>
        <v>1.20994</v>
      </c>
      <c r="AE18" s="164">
        <f t="shared" si="23"/>
        <v>1.5124249999999999</v>
      </c>
      <c r="AF18" s="230">
        <f t="shared" si="24"/>
        <v>0.112425</v>
      </c>
      <c r="AG18" s="164">
        <f t="shared" si="25"/>
        <v>1.20994</v>
      </c>
      <c r="AH18" s="240">
        <f t="shared" si="26"/>
        <v>10</v>
      </c>
    </row>
    <row r="19" spans="1:34">
      <c r="A19" s="362">
        <f>+'Datos de Proyecto'!K32</f>
        <v>0</v>
      </c>
      <c r="B19" s="363">
        <f t="shared" si="0"/>
        <v>0</v>
      </c>
      <c r="C19" s="364">
        <f t="shared" si="27"/>
        <v>0</v>
      </c>
      <c r="D19" s="364">
        <f t="shared" si="1"/>
        <v>1</v>
      </c>
      <c r="E19" s="364">
        <f t="shared" si="28"/>
        <v>1</v>
      </c>
      <c r="F19" s="363">
        <f t="shared" si="2"/>
        <v>0</v>
      </c>
      <c r="G19" s="363">
        <f t="shared" si="3"/>
        <v>0</v>
      </c>
      <c r="H19" s="365">
        <f t="shared" si="4"/>
        <v>0</v>
      </c>
      <c r="I19" s="363">
        <f t="shared" si="5"/>
        <v>0</v>
      </c>
      <c r="J19" s="364">
        <f t="shared" si="6"/>
        <v>1</v>
      </c>
      <c r="K19" s="366">
        <f>IF('Datos de Proyecto'!$K32="",0,($B$2*A19)+((A19+1)*$B$4)+0.1)</f>
        <v>0</v>
      </c>
      <c r="L19">
        <f t="shared" si="7"/>
        <v>0</v>
      </c>
      <c r="M19" s="362">
        <f>+'Datos de Proyecto'!N32</f>
        <v>0</v>
      </c>
      <c r="N19" s="363">
        <f t="shared" si="8"/>
        <v>0</v>
      </c>
      <c r="O19" s="364">
        <f t="shared" si="9"/>
        <v>0</v>
      </c>
      <c r="P19" s="364">
        <f t="shared" si="10"/>
        <v>1</v>
      </c>
      <c r="Q19" s="364">
        <f t="shared" si="18"/>
        <v>1</v>
      </c>
      <c r="R19" s="363">
        <f t="shared" si="11"/>
        <v>0</v>
      </c>
      <c r="S19" s="363">
        <f t="shared" si="12"/>
        <v>0</v>
      </c>
      <c r="T19" s="365">
        <f t="shared" si="13"/>
        <v>0</v>
      </c>
      <c r="U19" s="363">
        <f t="shared" si="14"/>
        <v>0</v>
      </c>
      <c r="V19" s="364">
        <f t="shared" si="15"/>
        <v>1</v>
      </c>
      <c r="W19" s="366">
        <f>IF('Datos de Proyecto'!$N32="",0,($N$2*M19)+((M19+1)*$N$4)+0.1)</f>
        <v>0</v>
      </c>
      <c r="X19">
        <f t="shared" si="16"/>
        <v>0</v>
      </c>
      <c r="Y19" s="93">
        <v>12</v>
      </c>
      <c r="Z19" s="232">
        <f t="shared" si="17"/>
        <v>13.244799999999998</v>
      </c>
      <c r="AA19" s="241">
        <f t="shared" si="19"/>
        <v>9.4605714285714271</v>
      </c>
      <c r="AB19" s="94">
        <f t="shared" si="29"/>
        <v>11</v>
      </c>
      <c r="AC19" s="94">
        <f t="shared" si="21"/>
        <v>10</v>
      </c>
      <c r="AD19" s="232">
        <f t="shared" si="22"/>
        <v>1.2040727272727272</v>
      </c>
      <c r="AE19" s="232">
        <f t="shared" si="23"/>
        <v>1.4716444444444443</v>
      </c>
      <c r="AF19" s="234">
        <f t="shared" si="24"/>
        <v>7.16444444444444E-2</v>
      </c>
      <c r="AG19" s="232">
        <f t="shared" si="25"/>
        <v>1.2040727272727272</v>
      </c>
      <c r="AH19" s="238">
        <f t="shared" si="26"/>
        <v>11</v>
      </c>
    </row>
    <row r="20" spans="1:34">
      <c r="A20" s="358">
        <f>+'Datos de Proyecto'!K33</f>
        <v>0</v>
      </c>
      <c r="B20" s="359">
        <f t="shared" si="0"/>
        <v>0</v>
      </c>
      <c r="C20" s="357">
        <f t="shared" si="27"/>
        <v>0</v>
      </c>
      <c r="D20" s="357">
        <f t="shared" si="1"/>
        <v>1</v>
      </c>
      <c r="E20" s="357">
        <f t="shared" si="28"/>
        <v>1</v>
      </c>
      <c r="F20" s="359">
        <f t="shared" si="2"/>
        <v>0</v>
      </c>
      <c r="G20" s="359">
        <f t="shared" si="3"/>
        <v>0</v>
      </c>
      <c r="H20" s="360">
        <f t="shared" si="4"/>
        <v>0</v>
      </c>
      <c r="I20" s="359">
        <f t="shared" si="5"/>
        <v>0</v>
      </c>
      <c r="J20" s="357">
        <f t="shared" si="6"/>
        <v>1</v>
      </c>
      <c r="K20" s="361">
        <f>IF('Datos de Proyecto'!$K33="",0,($B$2*A20)+((A20+1)*$B$4)+0.1)</f>
        <v>0</v>
      </c>
      <c r="L20">
        <f t="shared" si="7"/>
        <v>0</v>
      </c>
      <c r="M20" s="358">
        <f>+'Datos de Proyecto'!N33</f>
        <v>0</v>
      </c>
      <c r="N20" s="359">
        <f t="shared" si="8"/>
        <v>0</v>
      </c>
      <c r="O20" s="357">
        <f t="shared" si="9"/>
        <v>0</v>
      </c>
      <c r="P20" s="357">
        <f t="shared" si="10"/>
        <v>1</v>
      </c>
      <c r="Q20" s="357">
        <f t="shared" si="18"/>
        <v>1</v>
      </c>
      <c r="R20" s="359">
        <f t="shared" si="11"/>
        <v>0</v>
      </c>
      <c r="S20" s="359">
        <f t="shared" si="12"/>
        <v>0</v>
      </c>
      <c r="T20" s="360">
        <f t="shared" si="13"/>
        <v>0</v>
      </c>
      <c r="U20" s="359">
        <f t="shared" si="14"/>
        <v>0</v>
      </c>
      <c r="V20" s="357">
        <f t="shared" si="15"/>
        <v>1</v>
      </c>
      <c r="W20" s="361">
        <f>IF('Datos de Proyecto'!$N33="",0,($N$2*M20)+((M20+1)*$N$4)+0.1)</f>
        <v>0</v>
      </c>
      <c r="X20">
        <f t="shared" si="16"/>
        <v>0</v>
      </c>
      <c r="Y20" s="90">
        <v>13</v>
      </c>
      <c r="Z20" s="164">
        <f t="shared" si="17"/>
        <v>14.390199999999998</v>
      </c>
      <c r="AA20" s="242">
        <f t="shared" si="19"/>
        <v>10.278714285714285</v>
      </c>
      <c r="AB20" s="91">
        <f t="shared" si="29"/>
        <v>12</v>
      </c>
      <c r="AC20" s="91">
        <f t="shared" si="21"/>
        <v>11</v>
      </c>
      <c r="AD20" s="164">
        <f t="shared" si="22"/>
        <v>1.1991833333333333</v>
      </c>
      <c r="AE20" s="164">
        <f t="shared" si="23"/>
        <v>1.4390199999999997</v>
      </c>
      <c r="AF20" s="230">
        <f t="shared" si="24"/>
        <v>3.9019999999999833E-2</v>
      </c>
      <c r="AG20" s="164">
        <f t="shared" si="25"/>
        <v>1.4390199999999997</v>
      </c>
      <c r="AH20" s="240">
        <f t="shared" si="26"/>
        <v>11</v>
      </c>
    </row>
    <row r="21" spans="1:34">
      <c r="A21" s="362">
        <f>+'Datos de Proyecto'!K34</f>
        <v>0</v>
      </c>
      <c r="B21" s="363">
        <f t="shared" si="0"/>
        <v>0</v>
      </c>
      <c r="C21" s="364">
        <f t="shared" si="27"/>
        <v>0</v>
      </c>
      <c r="D21" s="364">
        <f t="shared" si="1"/>
        <v>1</v>
      </c>
      <c r="E21" s="364">
        <f t="shared" si="28"/>
        <v>1</v>
      </c>
      <c r="F21" s="363">
        <f t="shared" si="2"/>
        <v>0</v>
      </c>
      <c r="G21" s="363">
        <f t="shared" si="3"/>
        <v>0</v>
      </c>
      <c r="H21" s="365">
        <f t="shared" si="4"/>
        <v>0</v>
      </c>
      <c r="I21" s="363">
        <f t="shared" si="5"/>
        <v>0</v>
      </c>
      <c r="J21" s="364">
        <f t="shared" si="6"/>
        <v>1</v>
      </c>
      <c r="K21" s="366">
        <f>IF('Datos de Proyecto'!$K34="",0,($B$2*A21)+((A21+1)*$B$4)+0.1)</f>
        <v>0</v>
      </c>
      <c r="L21">
        <f t="shared" si="7"/>
        <v>0</v>
      </c>
      <c r="M21" s="362">
        <f>+'Datos de Proyecto'!N34</f>
        <v>0</v>
      </c>
      <c r="N21" s="363">
        <f t="shared" si="8"/>
        <v>0</v>
      </c>
      <c r="O21" s="364">
        <f t="shared" si="9"/>
        <v>0</v>
      </c>
      <c r="P21" s="364">
        <f t="shared" si="10"/>
        <v>1</v>
      </c>
      <c r="Q21" s="364">
        <f t="shared" si="18"/>
        <v>1</v>
      </c>
      <c r="R21" s="363">
        <f t="shared" si="11"/>
        <v>0</v>
      </c>
      <c r="S21" s="363">
        <f t="shared" si="12"/>
        <v>0</v>
      </c>
      <c r="T21" s="365">
        <f t="shared" si="13"/>
        <v>0</v>
      </c>
      <c r="U21" s="363">
        <f t="shared" si="14"/>
        <v>0</v>
      </c>
      <c r="V21" s="364">
        <f t="shared" si="15"/>
        <v>1</v>
      </c>
      <c r="W21" s="366">
        <f>IF('Datos de Proyecto'!$N34="",0,($N$2*M21)+((M21+1)*$N$4)+0.1)</f>
        <v>0</v>
      </c>
      <c r="X21">
        <f t="shared" si="16"/>
        <v>0</v>
      </c>
      <c r="Y21" s="93">
        <v>14</v>
      </c>
      <c r="Z21" s="232">
        <f t="shared" si="17"/>
        <v>15.535599999999997</v>
      </c>
      <c r="AA21" s="241">
        <f t="shared" si="19"/>
        <v>11.096857142857141</v>
      </c>
      <c r="AB21" s="94">
        <f t="shared" si="29"/>
        <v>13</v>
      </c>
      <c r="AC21" s="94">
        <f t="shared" si="21"/>
        <v>12</v>
      </c>
      <c r="AD21" s="232">
        <f t="shared" si="22"/>
        <v>1.1950461538461536</v>
      </c>
      <c r="AE21" s="232">
        <f t="shared" si="23"/>
        <v>1.4123272727272724</v>
      </c>
      <c r="AF21" s="234">
        <f t="shared" si="24"/>
        <v>1.232727272727252E-2</v>
      </c>
      <c r="AG21" s="232">
        <f t="shared" si="25"/>
        <v>1.4123272727272724</v>
      </c>
      <c r="AH21" s="238">
        <f t="shared" si="26"/>
        <v>12</v>
      </c>
    </row>
    <row r="22" spans="1:34">
      <c r="A22" s="358">
        <f>+'Datos de Proyecto'!K35</f>
        <v>0</v>
      </c>
      <c r="B22" s="359">
        <f t="shared" si="0"/>
        <v>0</v>
      </c>
      <c r="C22" s="357">
        <f t="shared" si="27"/>
        <v>0</v>
      </c>
      <c r="D22" s="357">
        <f t="shared" si="1"/>
        <v>1</v>
      </c>
      <c r="E22" s="357">
        <f t="shared" si="28"/>
        <v>1</v>
      </c>
      <c r="F22" s="359">
        <f t="shared" si="2"/>
        <v>0</v>
      </c>
      <c r="G22" s="359">
        <f t="shared" si="3"/>
        <v>0</v>
      </c>
      <c r="H22" s="360">
        <f t="shared" si="4"/>
        <v>0</v>
      </c>
      <c r="I22" s="359">
        <f t="shared" si="5"/>
        <v>0</v>
      </c>
      <c r="J22" s="357">
        <f t="shared" si="6"/>
        <v>1</v>
      </c>
      <c r="K22" s="361">
        <f>IF('Datos de Proyecto'!$K35="",0,($B$2*A22)+((A22+1)*$B$4)+0.1)</f>
        <v>0</v>
      </c>
      <c r="L22">
        <f t="shared" si="7"/>
        <v>0</v>
      </c>
      <c r="M22" s="358">
        <f>+'Datos de Proyecto'!N35</f>
        <v>0</v>
      </c>
      <c r="N22" s="359">
        <f t="shared" si="8"/>
        <v>0</v>
      </c>
      <c r="O22" s="357">
        <f t="shared" si="9"/>
        <v>0</v>
      </c>
      <c r="P22" s="357">
        <f t="shared" si="10"/>
        <v>1</v>
      </c>
      <c r="Q22" s="357">
        <f t="shared" si="18"/>
        <v>1</v>
      </c>
      <c r="R22" s="359">
        <f t="shared" si="11"/>
        <v>0</v>
      </c>
      <c r="S22" s="359">
        <f t="shared" si="12"/>
        <v>0</v>
      </c>
      <c r="T22" s="360">
        <f t="shared" si="13"/>
        <v>0</v>
      </c>
      <c r="U22" s="359">
        <f t="shared" si="14"/>
        <v>0</v>
      </c>
      <c r="V22" s="357">
        <f t="shared" si="15"/>
        <v>1</v>
      </c>
      <c r="W22" s="361">
        <f>IF('Datos de Proyecto'!$N35="",0,($N$2*M22)+((M22+1)*$N$4)+0.1)</f>
        <v>0</v>
      </c>
      <c r="X22">
        <f t="shared" si="16"/>
        <v>0</v>
      </c>
      <c r="Y22" s="90">
        <v>15</v>
      </c>
      <c r="Z22" s="164">
        <f t="shared" si="17"/>
        <v>16.680999999999997</v>
      </c>
      <c r="AA22" s="242">
        <f t="shared" si="19"/>
        <v>11.914999999999999</v>
      </c>
      <c r="AB22" s="91">
        <f t="shared" si="29"/>
        <v>13</v>
      </c>
      <c r="AC22" s="91">
        <f t="shared" si="21"/>
        <v>12</v>
      </c>
      <c r="AD22" s="164">
        <f t="shared" si="22"/>
        <v>1.2831538461538459</v>
      </c>
      <c r="AE22" s="164">
        <f t="shared" si="23"/>
        <v>1.5164545454545453</v>
      </c>
      <c r="AF22" s="230">
        <f t="shared" si="24"/>
        <v>0.11645454545454537</v>
      </c>
      <c r="AG22" s="164">
        <f t="shared" si="25"/>
        <v>1.2831538461538459</v>
      </c>
      <c r="AH22" s="240">
        <f t="shared" si="26"/>
        <v>13</v>
      </c>
    </row>
    <row r="23" spans="1:34">
      <c r="A23" s="362">
        <f>+'Datos de Proyecto'!K36</f>
        <v>0</v>
      </c>
      <c r="B23" s="363">
        <f t="shared" si="0"/>
        <v>0</v>
      </c>
      <c r="C23" s="364">
        <f t="shared" si="27"/>
        <v>0</v>
      </c>
      <c r="D23" s="364">
        <f t="shared" si="1"/>
        <v>1</v>
      </c>
      <c r="E23" s="364">
        <f t="shared" si="28"/>
        <v>1</v>
      </c>
      <c r="F23" s="363">
        <f t="shared" si="2"/>
        <v>0</v>
      </c>
      <c r="G23" s="363">
        <f t="shared" si="3"/>
        <v>0</v>
      </c>
      <c r="H23" s="365">
        <f t="shared" si="4"/>
        <v>0</v>
      </c>
      <c r="I23" s="363">
        <f t="shared" si="5"/>
        <v>0</v>
      </c>
      <c r="J23" s="364">
        <f t="shared" si="6"/>
        <v>1</v>
      </c>
      <c r="K23" s="366">
        <f>IF('Datos de Proyecto'!$K36="",0,($B$2*A23)+((A23+1)*$B$4)+0.1)</f>
        <v>0</v>
      </c>
      <c r="L23">
        <f t="shared" si="7"/>
        <v>0</v>
      </c>
      <c r="M23" s="362">
        <f>+'Datos de Proyecto'!N36</f>
        <v>0</v>
      </c>
      <c r="N23" s="363">
        <f t="shared" si="8"/>
        <v>0</v>
      </c>
      <c r="O23" s="364">
        <f t="shared" si="9"/>
        <v>0</v>
      </c>
      <c r="P23" s="364">
        <f t="shared" si="10"/>
        <v>1</v>
      </c>
      <c r="Q23" s="364">
        <f t="shared" si="18"/>
        <v>1</v>
      </c>
      <c r="R23" s="363">
        <f t="shared" si="11"/>
        <v>0</v>
      </c>
      <c r="S23" s="363">
        <f t="shared" si="12"/>
        <v>0</v>
      </c>
      <c r="T23" s="365">
        <f t="shared" si="13"/>
        <v>0</v>
      </c>
      <c r="U23" s="363">
        <f t="shared" si="14"/>
        <v>0</v>
      </c>
      <c r="V23" s="364">
        <f t="shared" si="15"/>
        <v>1</v>
      </c>
      <c r="W23" s="366">
        <f>IF('Datos de Proyecto'!$N36="",0,($N$2*M23)+((M23+1)*$N$4)+0.1)</f>
        <v>0</v>
      </c>
      <c r="X23">
        <f t="shared" si="16"/>
        <v>0</v>
      </c>
      <c r="Y23" s="93">
        <v>16</v>
      </c>
      <c r="Z23" s="232">
        <f t="shared" si="17"/>
        <v>17.8264</v>
      </c>
      <c r="AA23" s="241">
        <f t="shared" si="19"/>
        <v>12.733142857142857</v>
      </c>
      <c r="AB23" s="94">
        <f t="shared" si="29"/>
        <v>14</v>
      </c>
      <c r="AC23" s="94">
        <f t="shared" si="21"/>
        <v>13</v>
      </c>
      <c r="AD23" s="232">
        <f t="shared" si="22"/>
        <v>1.2733142857142856</v>
      </c>
      <c r="AE23" s="232">
        <f t="shared" si="23"/>
        <v>1.4855333333333334</v>
      </c>
      <c r="AF23" s="234">
        <f t="shared" si="24"/>
        <v>8.5533333333333461E-2</v>
      </c>
      <c r="AG23" s="232">
        <f t="shared" si="25"/>
        <v>1.2733142857142856</v>
      </c>
      <c r="AH23" s="238">
        <f t="shared" si="26"/>
        <v>14</v>
      </c>
    </row>
    <row r="24" spans="1:34">
      <c r="A24" s="358">
        <f>+'Datos de Proyecto'!K37</f>
        <v>0</v>
      </c>
      <c r="B24" s="359">
        <f t="shared" si="0"/>
        <v>0</v>
      </c>
      <c r="C24" s="357">
        <f t="shared" si="27"/>
        <v>0</v>
      </c>
      <c r="D24" s="357">
        <f t="shared" si="1"/>
        <v>1</v>
      </c>
      <c r="E24" s="357">
        <f t="shared" si="28"/>
        <v>1</v>
      </c>
      <c r="F24" s="359">
        <f t="shared" si="2"/>
        <v>0</v>
      </c>
      <c r="G24" s="359">
        <f t="shared" si="3"/>
        <v>0</v>
      </c>
      <c r="H24" s="360">
        <f t="shared" si="4"/>
        <v>0</v>
      </c>
      <c r="I24" s="359">
        <f t="shared" si="5"/>
        <v>0</v>
      </c>
      <c r="J24" s="357">
        <f t="shared" si="6"/>
        <v>1</v>
      </c>
      <c r="K24" s="361">
        <f>IF('Datos de Proyecto'!$K37="",0,($B$2*A24)+((A24+1)*$B$4)+0.1)</f>
        <v>0</v>
      </c>
      <c r="L24">
        <f t="shared" si="7"/>
        <v>0</v>
      </c>
      <c r="M24" s="358">
        <f>+'Datos de Proyecto'!N37</f>
        <v>0</v>
      </c>
      <c r="N24" s="359">
        <f t="shared" si="8"/>
        <v>0</v>
      </c>
      <c r="O24" s="357">
        <f t="shared" si="9"/>
        <v>0</v>
      </c>
      <c r="P24" s="357">
        <f t="shared" si="10"/>
        <v>1</v>
      </c>
      <c r="Q24" s="357">
        <f t="shared" si="18"/>
        <v>1</v>
      </c>
      <c r="R24" s="359">
        <f t="shared" si="11"/>
        <v>0</v>
      </c>
      <c r="S24" s="359">
        <f t="shared" si="12"/>
        <v>0</v>
      </c>
      <c r="T24" s="360">
        <f t="shared" si="13"/>
        <v>0</v>
      </c>
      <c r="U24" s="359">
        <f t="shared" si="14"/>
        <v>0</v>
      </c>
      <c r="V24" s="357">
        <f t="shared" si="15"/>
        <v>1</v>
      </c>
      <c r="W24" s="361">
        <f>IF('Datos de Proyecto'!$N37="",0,($N$2*M24)+((M24+1)*$N$4)+0.1)</f>
        <v>0</v>
      </c>
      <c r="X24">
        <f t="shared" si="16"/>
        <v>0</v>
      </c>
      <c r="Y24" s="90">
        <v>17</v>
      </c>
      <c r="Z24" s="164">
        <f t="shared" si="17"/>
        <v>18.971799999999998</v>
      </c>
      <c r="AA24" s="242">
        <f t="shared" si="19"/>
        <v>13.551285714285713</v>
      </c>
      <c r="AB24" s="91">
        <f t="shared" si="29"/>
        <v>15</v>
      </c>
      <c r="AC24" s="91">
        <f t="shared" si="21"/>
        <v>14</v>
      </c>
      <c r="AD24" s="164">
        <f t="shared" si="22"/>
        <v>1.2647866666666665</v>
      </c>
      <c r="AE24" s="164">
        <f t="shared" si="23"/>
        <v>1.4593692307692305</v>
      </c>
      <c r="AF24" s="230">
        <f t="shared" si="24"/>
        <v>5.9369230769230619E-2</v>
      </c>
      <c r="AG24" s="164">
        <f t="shared" si="25"/>
        <v>1.2647866666666665</v>
      </c>
      <c r="AH24" s="240">
        <f t="shared" si="26"/>
        <v>15</v>
      </c>
    </row>
    <row r="25" spans="1:34">
      <c r="A25" s="362">
        <f>+'Datos de Proyecto'!K38</f>
        <v>0</v>
      </c>
      <c r="B25" s="363">
        <f t="shared" si="0"/>
        <v>0</v>
      </c>
      <c r="C25" s="364">
        <f t="shared" si="27"/>
        <v>0</v>
      </c>
      <c r="D25" s="364">
        <f t="shared" si="1"/>
        <v>1</v>
      </c>
      <c r="E25" s="364">
        <f t="shared" si="28"/>
        <v>1</v>
      </c>
      <c r="F25" s="363">
        <f t="shared" si="2"/>
        <v>0</v>
      </c>
      <c r="G25" s="363">
        <f t="shared" si="3"/>
        <v>0</v>
      </c>
      <c r="H25" s="365">
        <f t="shared" si="4"/>
        <v>0</v>
      </c>
      <c r="I25" s="363">
        <f t="shared" si="5"/>
        <v>0</v>
      </c>
      <c r="J25" s="364">
        <f t="shared" si="6"/>
        <v>1</v>
      </c>
      <c r="K25" s="366">
        <f>IF('Datos de Proyecto'!$K38="",0,($B$2*A25)+((A25+1)*$B$4)+0.1)</f>
        <v>0</v>
      </c>
      <c r="L25">
        <f t="shared" si="7"/>
        <v>0</v>
      </c>
      <c r="M25" s="362">
        <f>+'Datos de Proyecto'!N38</f>
        <v>0</v>
      </c>
      <c r="N25" s="363">
        <f t="shared" si="8"/>
        <v>0</v>
      </c>
      <c r="O25" s="364">
        <f t="shared" si="9"/>
        <v>0</v>
      </c>
      <c r="P25" s="364">
        <f t="shared" si="10"/>
        <v>1</v>
      </c>
      <c r="Q25" s="364">
        <f t="shared" si="18"/>
        <v>1</v>
      </c>
      <c r="R25" s="363">
        <f t="shared" si="11"/>
        <v>0</v>
      </c>
      <c r="S25" s="363">
        <f t="shared" si="12"/>
        <v>0</v>
      </c>
      <c r="T25" s="365">
        <f t="shared" si="13"/>
        <v>0</v>
      </c>
      <c r="U25" s="363">
        <f t="shared" si="14"/>
        <v>0</v>
      </c>
      <c r="V25" s="364">
        <f t="shared" si="15"/>
        <v>1</v>
      </c>
      <c r="W25" s="366">
        <f>IF('Datos de Proyecto'!$N38="",0,($N$2*M25)+((M25+1)*$N$4)+0.1)</f>
        <v>0</v>
      </c>
      <c r="X25">
        <f t="shared" si="16"/>
        <v>0</v>
      </c>
      <c r="Y25" s="93">
        <v>18</v>
      </c>
      <c r="Z25" s="232">
        <f t="shared" si="17"/>
        <v>20.1172</v>
      </c>
      <c r="AA25" s="241">
        <f t="shared" si="19"/>
        <v>14.369428571428573</v>
      </c>
      <c r="AB25" s="94">
        <f t="shared" si="29"/>
        <v>16</v>
      </c>
      <c r="AC25" s="94">
        <f t="shared" si="21"/>
        <v>15</v>
      </c>
      <c r="AD25" s="232">
        <f t="shared" si="22"/>
        <v>1.257325</v>
      </c>
      <c r="AE25" s="232">
        <f t="shared" si="23"/>
        <v>1.4369428571428571</v>
      </c>
      <c r="AF25" s="234">
        <f t="shared" si="24"/>
        <v>3.6942857142857166E-2</v>
      </c>
      <c r="AG25" s="232">
        <f t="shared" si="25"/>
        <v>1.4369428571428571</v>
      </c>
      <c r="AH25" s="238">
        <f t="shared" si="26"/>
        <v>15</v>
      </c>
    </row>
    <row r="26" spans="1:34">
      <c r="A26" s="358">
        <f>+'Datos de Proyecto'!K39</f>
        <v>0</v>
      </c>
      <c r="B26" s="359">
        <f t="shared" si="0"/>
        <v>0</v>
      </c>
      <c r="C26" s="357">
        <f t="shared" si="27"/>
        <v>0</v>
      </c>
      <c r="D26" s="357">
        <f t="shared" si="1"/>
        <v>1</v>
      </c>
      <c r="E26" s="357">
        <f t="shared" si="28"/>
        <v>1</v>
      </c>
      <c r="F26" s="359">
        <f t="shared" si="2"/>
        <v>0</v>
      </c>
      <c r="G26" s="359">
        <f t="shared" si="3"/>
        <v>0</v>
      </c>
      <c r="H26" s="360">
        <f t="shared" si="4"/>
        <v>0</v>
      </c>
      <c r="I26" s="359">
        <f t="shared" si="5"/>
        <v>0</v>
      </c>
      <c r="J26" s="357">
        <f t="shared" si="6"/>
        <v>1</v>
      </c>
      <c r="K26" s="361">
        <f>IF('Datos de Proyecto'!$K39="",0,($B$2*A26)+((A26+1)*$B$4)+0.1)</f>
        <v>0</v>
      </c>
      <c r="L26">
        <f t="shared" si="7"/>
        <v>0</v>
      </c>
      <c r="M26" s="358">
        <f>+'Datos de Proyecto'!N39</f>
        <v>0</v>
      </c>
      <c r="N26" s="359">
        <f t="shared" si="8"/>
        <v>0</v>
      </c>
      <c r="O26" s="357">
        <f t="shared" si="9"/>
        <v>0</v>
      </c>
      <c r="P26" s="357">
        <f t="shared" si="10"/>
        <v>1</v>
      </c>
      <c r="Q26" s="357">
        <f t="shared" si="18"/>
        <v>1</v>
      </c>
      <c r="R26" s="359">
        <f t="shared" si="11"/>
        <v>0</v>
      </c>
      <c r="S26" s="359">
        <f t="shared" si="12"/>
        <v>0</v>
      </c>
      <c r="T26" s="360">
        <f t="shared" si="13"/>
        <v>0</v>
      </c>
      <c r="U26" s="359">
        <f t="shared" si="14"/>
        <v>0</v>
      </c>
      <c r="V26" s="357">
        <f t="shared" si="15"/>
        <v>1</v>
      </c>
      <c r="W26" s="361">
        <f>IF('Datos de Proyecto'!$N39="",0,($N$2*M26)+((M26+1)*$N$4)+0.1)</f>
        <v>0</v>
      </c>
      <c r="X26">
        <f t="shared" si="16"/>
        <v>0</v>
      </c>
      <c r="Y26" s="90">
        <v>19</v>
      </c>
      <c r="Z26" s="164">
        <f t="shared" si="17"/>
        <v>21.262599999999999</v>
      </c>
      <c r="AA26" s="242">
        <f t="shared" si="19"/>
        <v>15.187571428571429</v>
      </c>
      <c r="AB26" s="91">
        <f t="shared" si="29"/>
        <v>17</v>
      </c>
      <c r="AC26" s="91">
        <f t="shared" si="21"/>
        <v>16</v>
      </c>
      <c r="AD26" s="164">
        <f t="shared" si="22"/>
        <v>1.2507411764705882</v>
      </c>
      <c r="AE26" s="164">
        <f t="shared" si="23"/>
        <v>1.4175066666666667</v>
      </c>
      <c r="AF26" s="230">
        <f t="shared" si="24"/>
        <v>1.7506666666666781E-2</v>
      </c>
      <c r="AG26" s="164">
        <f t="shared" si="25"/>
        <v>1.4175066666666667</v>
      </c>
      <c r="AH26" s="240">
        <f>IF(AF26&lt;0.04,AC26,AB26)</f>
        <v>16</v>
      </c>
    </row>
    <row r="27" spans="1:34">
      <c r="A27" s="362">
        <f>+'Datos de Proyecto'!K40</f>
        <v>0</v>
      </c>
      <c r="B27" s="363">
        <f t="shared" si="0"/>
        <v>0</v>
      </c>
      <c r="C27" s="364">
        <f t="shared" si="27"/>
        <v>0</v>
      </c>
      <c r="D27" s="364">
        <f>ROUNDUP(C27,0)+1</f>
        <v>1</v>
      </c>
      <c r="E27" s="364">
        <f t="shared" si="28"/>
        <v>1</v>
      </c>
      <c r="F27" s="363">
        <f t="shared" si="2"/>
        <v>0</v>
      </c>
      <c r="G27" s="363">
        <f t="shared" si="3"/>
        <v>0</v>
      </c>
      <c r="H27" s="365">
        <f t="shared" si="4"/>
        <v>0</v>
      </c>
      <c r="I27" s="363">
        <f t="shared" si="5"/>
        <v>0</v>
      </c>
      <c r="J27" s="364">
        <f t="shared" si="6"/>
        <v>1</v>
      </c>
      <c r="K27" s="366">
        <f>IF('Datos de Proyecto'!$K40="",0,($B$2*A27)+((A27+1)*$B$4)+0.1)</f>
        <v>0</v>
      </c>
      <c r="L27">
        <f t="shared" si="7"/>
        <v>0</v>
      </c>
      <c r="M27" s="378">
        <f>+'Datos de Proyecto'!N40</f>
        <v>0</v>
      </c>
      <c r="N27" s="379">
        <f t="shared" si="8"/>
        <v>0</v>
      </c>
      <c r="O27" s="380">
        <f t="shared" si="9"/>
        <v>0</v>
      </c>
      <c r="P27" s="380">
        <f t="shared" si="10"/>
        <v>1</v>
      </c>
      <c r="Q27" s="380">
        <f t="shared" si="18"/>
        <v>1</v>
      </c>
      <c r="R27" s="379">
        <f t="shared" si="11"/>
        <v>0</v>
      </c>
      <c r="S27" s="379">
        <f t="shared" si="12"/>
        <v>0</v>
      </c>
      <c r="T27" s="381">
        <f t="shared" si="13"/>
        <v>0</v>
      </c>
      <c r="U27" s="379">
        <f t="shared" si="14"/>
        <v>0</v>
      </c>
      <c r="V27" s="380">
        <f t="shared" si="15"/>
        <v>1</v>
      </c>
      <c r="W27" s="366">
        <f>IF('Datos de Proyecto'!$N40="",0,($N$2*M27)+((M27+1)*$N$4)+0.1)</f>
        <v>0</v>
      </c>
      <c r="X27">
        <f t="shared" si="16"/>
        <v>0</v>
      </c>
      <c r="Y27" s="95">
        <v>20</v>
      </c>
      <c r="Z27" s="232">
        <f t="shared" si="17"/>
        <v>22.408000000000001</v>
      </c>
      <c r="AA27" s="243">
        <f t="shared" si="19"/>
        <v>16.005714285714287</v>
      </c>
      <c r="AB27" s="96">
        <f>ROUNDUP(AA27,0)+1</f>
        <v>18</v>
      </c>
      <c r="AC27" s="96">
        <f t="shared" si="21"/>
        <v>17</v>
      </c>
      <c r="AD27" s="235">
        <f t="shared" si="22"/>
        <v>1.2448888888888889</v>
      </c>
      <c r="AE27" s="235">
        <f t="shared" si="23"/>
        <v>1.4005000000000001</v>
      </c>
      <c r="AF27" s="236">
        <f t="shared" si="24"/>
        <v>5.0000000000016698E-4</v>
      </c>
      <c r="AG27" s="235">
        <f t="shared" si="25"/>
        <v>1.4005000000000001</v>
      </c>
      <c r="AH27" s="239">
        <f t="shared" ref="AH27" si="30">IF(AF27&lt;0.04,AC27,AB27)</f>
        <v>17</v>
      </c>
    </row>
    <row r="29" spans="1:34">
      <c r="A29" s="221" t="s">
        <v>552</v>
      </c>
      <c r="B29" s="224">
        <f>'Formula de apoyo'!X7</f>
        <v>1.8524999999999998</v>
      </c>
    </row>
    <row r="30" spans="1:34">
      <c r="A30" s="221" t="s">
        <v>553</v>
      </c>
      <c r="B30" s="224">
        <f>IF('Datos de Proyecto'!G19="Vertical",'Datos de Proyecto'!D26,'Datos de Proyecto'!D25)</f>
        <v>1.1339999999999999</v>
      </c>
    </row>
    <row r="31" spans="1:34">
      <c r="A31" s="221" t="s">
        <v>554</v>
      </c>
      <c r="B31" s="224">
        <v>0.6</v>
      </c>
    </row>
    <row r="32" spans="1:34" ht="29">
      <c r="A32" s="222" t="s">
        <v>555</v>
      </c>
      <c r="B32" s="225">
        <v>1.2699999999999999E-2</v>
      </c>
    </row>
    <row r="34" spans="1:15" ht="23.5">
      <c r="A34" s="621" t="s">
        <v>154</v>
      </c>
      <c r="B34" s="621"/>
      <c r="C34" s="621"/>
      <c r="D34" s="621"/>
      <c r="E34" s="621"/>
      <c r="F34" s="621"/>
      <c r="G34" s="621"/>
      <c r="H34" s="621"/>
      <c r="I34" s="621"/>
      <c r="J34" s="621"/>
      <c r="K34" s="290"/>
      <c r="O34" t="s">
        <v>575</v>
      </c>
    </row>
    <row r="35" spans="1:15" ht="54" customHeight="1">
      <c r="A35" s="227" t="s">
        <v>571</v>
      </c>
      <c r="B35" s="228" t="s">
        <v>559</v>
      </c>
      <c r="C35" s="228" t="s">
        <v>560</v>
      </c>
      <c r="D35" s="228" t="s">
        <v>561</v>
      </c>
      <c r="E35" s="228" t="s">
        <v>562</v>
      </c>
      <c r="F35" s="229" t="s">
        <v>563</v>
      </c>
      <c r="G35" s="229" t="s">
        <v>564</v>
      </c>
      <c r="H35" s="229" t="s">
        <v>565</v>
      </c>
      <c r="I35" s="231" t="s">
        <v>566</v>
      </c>
      <c r="J35" s="288" t="s">
        <v>567</v>
      </c>
      <c r="K35" s="289" t="s">
        <v>568</v>
      </c>
      <c r="O35" s="289" t="s">
        <v>576</v>
      </c>
    </row>
    <row r="36" spans="1:15">
      <c r="A36" s="322">
        <f>+'Datos de Proyecto'!H21</f>
        <v>10</v>
      </c>
      <c r="B36" s="276">
        <f>($B$30*A36-$B$31)+((A36+1)*$B$32)+0.1</f>
        <v>10.979699999999999</v>
      </c>
      <c r="C36" s="322">
        <f>IF(B36/$B$29&lt;1,1,B36/$B$29)</f>
        <v>5.9269635627530368</v>
      </c>
      <c r="D36" s="322">
        <f>ROUNDUP(C36,0)+1</f>
        <v>7</v>
      </c>
      <c r="E36" s="226">
        <f>IF(D36&lt;=2,2,ROUNDDOWN(C36,0)+1)</f>
        <v>6</v>
      </c>
      <c r="F36" s="276">
        <f>B36/(D36-1)</f>
        <v>1.82995</v>
      </c>
      <c r="G36" s="276">
        <f>B36/(E36-1)</f>
        <v>2.1959399999999998</v>
      </c>
      <c r="H36" s="279">
        <f>(G36/$B$29)</f>
        <v>1.1853927125506072</v>
      </c>
      <c r="I36" s="282">
        <f>IF(H36&lt;1.04,G36,F36)</f>
        <v>1.82995</v>
      </c>
      <c r="J36" s="238">
        <f>IF(H36&lt;1.04,E36,D36)</f>
        <v>7</v>
      </c>
      <c r="K36" s="282">
        <f>IF('Datos de Proyecto'!H21="",0,($B$30*A36)+((A36+1)*$B$32)+0.1)</f>
        <v>11.579699999999999</v>
      </c>
      <c r="L36">
        <f>IF(K36&gt;24,"Error",0)</f>
        <v>0</v>
      </c>
      <c r="O36" s="282">
        <f>'Datos de Proyecto'!Q21*'Datos de Proyecto'!$D$26</f>
        <v>11.34</v>
      </c>
    </row>
    <row r="37" spans="1:15">
      <c r="A37" s="324">
        <f>+'Datos de Proyecto'!H22</f>
        <v>10</v>
      </c>
      <c r="B37" s="277">
        <f>($B$30*A37-$B$31)+((A37+1)*$B$32)+0.1</f>
        <v>10.979699999999999</v>
      </c>
      <c r="C37" s="324">
        <f t="shared" ref="C37:C55" si="31">IF(B37/$B$29&lt;1,1,B37/$B$29)</f>
        <v>5.9269635627530368</v>
      </c>
      <c r="D37" s="324">
        <f>ROUNDUP(C37,0)+1</f>
        <v>7</v>
      </c>
      <c r="E37" s="233">
        <f>IF(D37&lt;=2,2,ROUNDDOWN(C37,0)+1)</f>
        <v>6</v>
      </c>
      <c r="F37" s="277">
        <f>B37/(D37-1)</f>
        <v>1.82995</v>
      </c>
      <c r="G37" s="277">
        <f>B37/(E37-1)</f>
        <v>2.1959399999999998</v>
      </c>
      <c r="H37" s="280">
        <f>(G37/$B$29)</f>
        <v>1.1853927125506072</v>
      </c>
      <c r="I37" s="283">
        <f>IF(H37&lt;1.04,G37,F37)</f>
        <v>1.82995</v>
      </c>
      <c r="J37" s="238">
        <f>IF(H37&lt;1.04,E37,D37)</f>
        <v>7</v>
      </c>
      <c r="K37" s="283">
        <f>IF('Datos de Proyecto'!H22="",0,($B$30*A37)+((A37+1)*$B$32)+0.1)</f>
        <v>11.579699999999999</v>
      </c>
      <c r="L37">
        <f t="shared" ref="L37:L55" si="32">IF(K37&gt;24,"Error",0)</f>
        <v>0</v>
      </c>
      <c r="O37" s="283">
        <f>'Datos de Proyecto'!Q22*'Datos de Proyecto'!$D$26</f>
        <v>0</v>
      </c>
    </row>
    <row r="38" spans="1:15">
      <c r="A38" s="323">
        <f>+'Datos de Proyecto'!H23</f>
        <v>0</v>
      </c>
      <c r="B38" s="276">
        <f t="shared" ref="B38:B55" si="33">($B$30*A38-$B$31)+((A38+1)*$B$32)+0.1</f>
        <v>-0.48729999999999996</v>
      </c>
      <c r="C38" s="323">
        <f t="shared" si="31"/>
        <v>1</v>
      </c>
      <c r="D38" s="323">
        <f>ROUNDUP(C38,0)+1</f>
        <v>2</v>
      </c>
      <c r="E38" s="91">
        <f>ROUNDDOWN(C38,0)+1</f>
        <v>2</v>
      </c>
      <c r="F38" s="276">
        <f>B38/(D38-1)</f>
        <v>-0.48729999999999996</v>
      </c>
      <c r="G38" s="276">
        <f>B38/(E38-1)</f>
        <v>-0.48729999999999996</v>
      </c>
      <c r="H38" s="279">
        <f t="shared" ref="H38:H55" si="34">(G38/$B$29)</f>
        <v>-0.26304993252361675</v>
      </c>
      <c r="I38" s="284">
        <f t="shared" ref="I38:I55" si="35">IF(H38&lt;1.04,G38,F38)</f>
        <v>-0.48729999999999996</v>
      </c>
      <c r="J38" s="286">
        <f t="shared" ref="J38:J55" si="36">IF(H38&lt;1.04,E38,D38)</f>
        <v>2</v>
      </c>
      <c r="K38" s="284">
        <f>IF('Datos de Proyecto'!H23="",0,($B$30*A38)+((A38+1)*$B$32)+0.1)</f>
        <v>0</v>
      </c>
      <c r="L38">
        <f t="shared" si="32"/>
        <v>0</v>
      </c>
      <c r="O38" s="284">
        <f>'Datos de Proyecto'!Q23*'Datos de Proyecto'!$D$26</f>
        <v>0</v>
      </c>
    </row>
    <row r="39" spans="1:15">
      <c r="A39" s="324">
        <f>+'Datos de Proyecto'!H24</f>
        <v>0</v>
      </c>
      <c r="B39" s="277">
        <f t="shared" si="33"/>
        <v>-0.48729999999999996</v>
      </c>
      <c r="C39" s="324">
        <f t="shared" si="31"/>
        <v>1</v>
      </c>
      <c r="D39" s="325">
        <f t="shared" ref="D39:D44" si="37">ROUNDUP(C39,0)+1</f>
        <v>2</v>
      </c>
      <c r="E39" s="233">
        <f>ROUNDDOWN(C39,0)+1</f>
        <v>2</v>
      </c>
      <c r="F39" s="277">
        <f>B39/(D39-1)</f>
        <v>-0.48729999999999996</v>
      </c>
      <c r="G39" s="277">
        <f>B39/(E39-1)</f>
        <v>-0.48729999999999996</v>
      </c>
      <c r="H39" s="280">
        <f t="shared" si="34"/>
        <v>-0.26304993252361675</v>
      </c>
      <c r="I39" s="283">
        <f t="shared" si="35"/>
        <v>-0.48729999999999996</v>
      </c>
      <c r="J39" s="238">
        <f t="shared" si="36"/>
        <v>2</v>
      </c>
      <c r="K39" s="283">
        <f>IF('Datos de Proyecto'!H24="",0,($B$30*A39)+((A39+1)*$B$32)+0.1)</f>
        <v>0</v>
      </c>
      <c r="L39">
        <f t="shared" si="32"/>
        <v>0</v>
      </c>
      <c r="O39" s="283">
        <f>'Datos de Proyecto'!Q24*'Datos de Proyecto'!$D$26</f>
        <v>0</v>
      </c>
    </row>
    <row r="40" spans="1:15">
      <c r="A40" s="323">
        <f>+'Datos de Proyecto'!H25</f>
        <v>0</v>
      </c>
      <c r="B40" s="276">
        <f t="shared" si="33"/>
        <v>-0.48729999999999996</v>
      </c>
      <c r="C40" s="323">
        <f t="shared" si="31"/>
        <v>1</v>
      </c>
      <c r="D40" s="270">
        <f t="shared" si="37"/>
        <v>2</v>
      </c>
      <c r="E40" s="91">
        <f t="shared" ref="E40:E55" si="38">ROUNDDOWN(C40,0)+1</f>
        <v>2</v>
      </c>
      <c r="F40" s="276">
        <f t="shared" ref="F40:F55" si="39">B40/(D40-1)</f>
        <v>-0.48729999999999996</v>
      </c>
      <c r="G40" s="276">
        <f t="shared" ref="G40:G55" si="40">B40/(E40-1)</f>
        <v>-0.48729999999999996</v>
      </c>
      <c r="H40" s="279">
        <f t="shared" si="34"/>
        <v>-0.26304993252361675</v>
      </c>
      <c r="I40" s="284">
        <f t="shared" si="35"/>
        <v>-0.48729999999999996</v>
      </c>
      <c r="J40" s="286">
        <f t="shared" si="36"/>
        <v>2</v>
      </c>
      <c r="K40" s="284">
        <f>IF('Datos de Proyecto'!H25="",0,($B$30*A40)+((A40+1)*$B$32)+0.1)</f>
        <v>0</v>
      </c>
      <c r="L40">
        <f t="shared" si="32"/>
        <v>0</v>
      </c>
      <c r="O40" s="284">
        <f>'Datos de Proyecto'!Q25*'Datos de Proyecto'!$D$26</f>
        <v>0</v>
      </c>
    </row>
    <row r="41" spans="1:15">
      <c r="A41" s="324">
        <f>+'Datos de Proyecto'!H26</f>
        <v>0</v>
      </c>
      <c r="B41" s="277">
        <f t="shared" si="33"/>
        <v>-0.48729999999999996</v>
      </c>
      <c r="C41" s="324">
        <f t="shared" si="31"/>
        <v>1</v>
      </c>
      <c r="D41" s="325">
        <f t="shared" si="37"/>
        <v>2</v>
      </c>
      <c r="E41" s="94">
        <f t="shared" si="38"/>
        <v>2</v>
      </c>
      <c r="F41" s="277">
        <f t="shared" si="39"/>
        <v>-0.48729999999999996</v>
      </c>
      <c r="G41" s="277">
        <f t="shared" si="40"/>
        <v>-0.48729999999999996</v>
      </c>
      <c r="H41" s="280">
        <f t="shared" si="34"/>
        <v>-0.26304993252361675</v>
      </c>
      <c r="I41" s="283">
        <f t="shared" si="35"/>
        <v>-0.48729999999999996</v>
      </c>
      <c r="J41" s="238">
        <f t="shared" si="36"/>
        <v>2</v>
      </c>
      <c r="K41" s="283">
        <f>IF('Datos de Proyecto'!H26="",0,($B$30*A41)+((A41+1)*$B$32)+0.1)</f>
        <v>0</v>
      </c>
      <c r="L41">
        <f t="shared" si="32"/>
        <v>0</v>
      </c>
      <c r="O41" s="283">
        <f>'Datos de Proyecto'!Q26*'Datos de Proyecto'!$D$26</f>
        <v>0</v>
      </c>
    </row>
    <row r="42" spans="1:15">
      <c r="A42" s="323">
        <f>+'Datos de Proyecto'!H27</f>
        <v>0</v>
      </c>
      <c r="B42" s="276">
        <f t="shared" si="33"/>
        <v>-0.48729999999999996</v>
      </c>
      <c r="C42" s="323">
        <f t="shared" si="31"/>
        <v>1</v>
      </c>
      <c r="D42" s="270">
        <f t="shared" si="37"/>
        <v>2</v>
      </c>
      <c r="E42" s="91">
        <f t="shared" si="38"/>
        <v>2</v>
      </c>
      <c r="F42" s="276">
        <f t="shared" si="39"/>
        <v>-0.48729999999999996</v>
      </c>
      <c r="G42" s="276">
        <f t="shared" si="40"/>
        <v>-0.48729999999999996</v>
      </c>
      <c r="H42" s="279">
        <f t="shared" si="34"/>
        <v>-0.26304993252361675</v>
      </c>
      <c r="I42" s="284">
        <f t="shared" si="35"/>
        <v>-0.48729999999999996</v>
      </c>
      <c r="J42" s="286">
        <f t="shared" si="36"/>
        <v>2</v>
      </c>
      <c r="K42" s="284">
        <f>IF('Datos de Proyecto'!H27="",0,($B$30*A42)+((A42+1)*$B$32)+0.1)</f>
        <v>0</v>
      </c>
      <c r="L42">
        <f t="shared" si="32"/>
        <v>0</v>
      </c>
      <c r="O42" s="284">
        <f>'Datos de Proyecto'!Q27*'Datos de Proyecto'!$D$26</f>
        <v>0</v>
      </c>
    </row>
    <row r="43" spans="1:15">
      <c r="A43" s="324">
        <f>+'Datos de Proyecto'!H28</f>
        <v>0</v>
      </c>
      <c r="B43" s="277">
        <f t="shared" si="33"/>
        <v>-0.48729999999999996</v>
      </c>
      <c r="C43" s="324">
        <f t="shared" si="31"/>
        <v>1</v>
      </c>
      <c r="D43" s="325">
        <f t="shared" si="37"/>
        <v>2</v>
      </c>
      <c r="E43" s="94">
        <f t="shared" si="38"/>
        <v>2</v>
      </c>
      <c r="F43" s="277">
        <f t="shared" si="39"/>
        <v>-0.48729999999999996</v>
      </c>
      <c r="G43" s="277">
        <f t="shared" si="40"/>
        <v>-0.48729999999999996</v>
      </c>
      <c r="H43" s="280">
        <f t="shared" si="34"/>
        <v>-0.26304993252361675</v>
      </c>
      <c r="I43" s="283">
        <f t="shared" si="35"/>
        <v>-0.48729999999999996</v>
      </c>
      <c r="J43" s="238">
        <f t="shared" si="36"/>
        <v>2</v>
      </c>
      <c r="K43" s="283">
        <f>IF('Datos de Proyecto'!H28="",0,($B$30*A43)+((A43+1)*$B$32)+0.1)</f>
        <v>0</v>
      </c>
      <c r="L43">
        <f t="shared" si="32"/>
        <v>0</v>
      </c>
      <c r="O43" s="283">
        <f>'Datos de Proyecto'!Q28*'Datos de Proyecto'!$D$26</f>
        <v>0</v>
      </c>
    </row>
    <row r="44" spans="1:15">
      <c r="A44" s="323">
        <f>+'Datos de Proyecto'!H29</f>
        <v>0</v>
      </c>
      <c r="B44" s="276">
        <f t="shared" si="33"/>
        <v>-0.48729999999999996</v>
      </c>
      <c r="C44" s="323">
        <f t="shared" si="31"/>
        <v>1</v>
      </c>
      <c r="D44" s="270">
        <f t="shared" si="37"/>
        <v>2</v>
      </c>
      <c r="E44" s="91">
        <f t="shared" si="38"/>
        <v>2</v>
      </c>
      <c r="F44" s="276">
        <f t="shared" si="39"/>
        <v>-0.48729999999999996</v>
      </c>
      <c r="G44" s="276">
        <f t="shared" si="40"/>
        <v>-0.48729999999999996</v>
      </c>
      <c r="H44" s="279">
        <f t="shared" si="34"/>
        <v>-0.26304993252361675</v>
      </c>
      <c r="I44" s="284">
        <f t="shared" si="35"/>
        <v>-0.48729999999999996</v>
      </c>
      <c r="J44" s="286">
        <f t="shared" si="36"/>
        <v>2</v>
      </c>
      <c r="K44" s="284">
        <f>IF('Datos de Proyecto'!H29="",0,($B$30*A44)+((A44+1)*$B$32)+0.1)</f>
        <v>0</v>
      </c>
      <c r="L44">
        <f t="shared" si="32"/>
        <v>0</v>
      </c>
      <c r="O44" s="284">
        <f>'Datos de Proyecto'!Q29*'Datos de Proyecto'!$D$26</f>
        <v>0</v>
      </c>
    </row>
    <row r="45" spans="1:15">
      <c r="A45" s="324">
        <f>+'Datos de Proyecto'!H30</f>
        <v>0</v>
      </c>
      <c r="B45" s="277">
        <f t="shared" si="33"/>
        <v>-0.48729999999999996</v>
      </c>
      <c r="C45" s="324">
        <f t="shared" si="31"/>
        <v>1</v>
      </c>
      <c r="D45" s="325">
        <f>ROUNDUP(C45,0)+1</f>
        <v>2</v>
      </c>
      <c r="E45" s="94">
        <f t="shared" si="38"/>
        <v>2</v>
      </c>
      <c r="F45" s="277">
        <f t="shared" si="39"/>
        <v>-0.48729999999999996</v>
      </c>
      <c r="G45" s="277">
        <f t="shared" si="40"/>
        <v>-0.48729999999999996</v>
      </c>
      <c r="H45" s="280">
        <f t="shared" si="34"/>
        <v>-0.26304993252361675</v>
      </c>
      <c r="I45" s="283">
        <f t="shared" si="35"/>
        <v>-0.48729999999999996</v>
      </c>
      <c r="J45" s="238">
        <f t="shared" si="36"/>
        <v>2</v>
      </c>
      <c r="K45" s="283">
        <f>IF('Datos de Proyecto'!H30="",0,($B$30*A45)+((A45+1)*$B$32)+0.1)</f>
        <v>0</v>
      </c>
      <c r="L45">
        <f t="shared" si="32"/>
        <v>0</v>
      </c>
      <c r="O45" s="283">
        <f>'Datos de Proyecto'!Q30*'Datos de Proyecto'!$D$26</f>
        <v>0</v>
      </c>
    </row>
    <row r="46" spans="1:15">
      <c r="A46" s="323">
        <f>+'Datos de Proyecto'!H31</f>
        <v>0</v>
      </c>
      <c r="B46" s="276">
        <f t="shared" si="33"/>
        <v>-0.48729999999999996</v>
      </c>
      <c r="C46" s="323">
        <f t="shared" si="31"/>
        <v>1</v>
      </c>
      <c r="D46" s="270">
        <f t="shared" ref="D46:D54" si="41">ROUNDUP(C46,0)+1</f>
        <v>2</v>
      </c>
      <c r="E46" s="91">
        <f t="shared" si="38"/>
        <v>2</v>
      </c>
      <c r="F46" s="276">
        <f t="shared" si="39"/>
        <v>-0.48729999999999996</v>
      </c>
      <c r="G46" s="276">
        <f t="shared" si="40"/>
        <v>-0.48729999999999996</v>
      </c>
      <c r="H46" s="279">
        <f t="shared" si="34"/>
        <v>-0.26304993252361675</v>
      </c>
      <c r="I46" s="284">
        <f t="shared" si="35"/>
        <v>-0.48729999999999996</v>
      </c>
      <c r="J46" s="286">
        <f t="shared" si="36"/>
        <v>2</v>
      </c>
      <c r="K46" s="284">
        <f>IF('Datos de Proyecto'!H31="",0,($B$30*A46)+((A46+1)*$B$32)+0.1)</f>
        <v>0</v>
      </c>
      <c r="L46">
        <f t="shared" si="32"/>
        <v>0</v>
      </c>
      <c r="O46" s="284">
        <f>'Datos de Proyecto'!Q31*'Datos de Proyecto'!$D$26</f>
        <v>0</v>
      </c>
    </row>
    <row r="47" spans="1:15">
      <c r="A47" s="324">
        <f>+'Datos de Proyecto'!H32</f>
        <v>0</v>
      </c>
      <c r="B47" s="277">
        <f t="shared" si="33"/>
        <v>-0.48729999999999996</v>
      </c>
      <c r="C47" s="324">
        <f t="shared" si="31"/>
        <v>1</v>
      </c>
      <c r="D47" s="325">
        <f t="shared" si="41"/>
        <v>2</v>
      </c>
      <c r="E47" s="94">
        <f t="shared" si="38"/>
        <v>2</v>
      </c>
      <c r="F47" s="277">
        <f t="shared" si="39"/>
        <v>-0.48729999999999996</v>
      </c>
      <c r="G47" s="277">
        <f t="shared" si="40"/>
        <v>-0.48729999999999996</v>
      </c>
      <c r="H47" s="280">
        <f t="shared" si="34"/>
        <v>-0.26304993252361675</v>
      </c>
      <c r="I47" s="283">
        <f t="shared" si="35"/>
        <v>-0.48729999999999996</v>
      </c>
      <c r="J47" s="238">
        <f t="shared" si="36"/>
        <v>2</v>
      </c>
      <c r="K47" s="283">
        <f>IF('Datos de Proyecto'!H32="",0,($B$30*A47)+((A47+1)*$B$32)+0.1)</f>
        <v>0</v>
      </c>
      <c r="L47">
        <f t="shared" si="32"/>
        <v>0</v>
      </c>
      <c r="O47" s="283">
        <f>'Datos de Proyecto'!Q32*'Datos de Proyecto'!$D$26</f>
        <v>0</v>
      </c>
    </row>
    <row r="48" spans="1:15">
      <c r="A48" s="323">
        <f>+'Datos de Proyecto'!H33</f>
        <v>0</v>
      </c>
      <c r="B48" s="276">
        <f t="shared" si="33"/>
        <v>-0.48729999999999996</v>
      </c>
      <c r="C48" s="323">
        <f t="shared" si="31"/>
        <v>1</v>
      </c>
      <c r="D48" s="270">
        <f t="shared" si="41"/>
        <v>2</v>
      </c>
      <c r="E48" s="91">
        <f t="shared" si="38"/>
        <v>2</v>
      </c>
      <c r="F48" s="276">
        <f t="shared" si="39"/>
        <v>-0.48729999999999996</v>
      </c>
      <c r="G48" s="276">
        <f t="shared" si="40"/>
        <v>-0.48729999999999996</v>
      </c>
      <c r="H48" s="279">
        <f t="shared" si="34"/>
        <v>-0.26304993252361675</v>
      </c>
      <c r="I48" s="284">
        <f t="shared" si="35"/>
        <v>-0.48729999999999996</v>
      </c>
      <c r="J48" s="286">
        <f>IF(H48&lt;1.04,E48,D48)</f>
        <v>2</v>
      </c>
      <c r="K48" s="284">
        <f>IF('Datos de Proyecto'!H33="",0,($B$30*A48)+((A48+1)*$B$32)+0.1)</f>
        <v>0</v>
      </c>
      <c r="L48">
        <f t="shared" si="32"/>
        <v>0</v>
      </c>
      <c r="O48" s="284">
        <f>'Datos de Proyecto'!Q33*'Datos de Proyecto'!$D$26</f>
        <v>0</v>
      </c>
    </row>
    <row r="49" spans="1:15">
      <c r="A49" s="324">
        <f>+'Datos de Proyecto'!H34</f>
        <v>0</v>
      </c>
      <c r="B49" s="277">
        <f t="shared" si="33"/>
        <v>-0.48729999999999996</v>
      </c>
      <c r="C49" s="324">
        <f t="shared" si="31"/>
        <v>1</v>
      </c>
      <c r="D49" s="325">
        <f t="shared" si="41"/>
        <v>2</v>
      </c>
      <c r="E49" s="94">
        <f t="shared" si="38"/>
        <v>2</v>
      </c>
      <c r="F49" s="277">
        <f t="shared" si="39"/>
        <v>-0.48729999999999996</v>
      </c>
      <c r="G49" s="277">
        <f t="shared" si="40"/>
        <v>-0.48729999999999996</v>
      </c>
      <c r="H49" s="280">
        <f t="shared" si="34"/>
        <v>-0.26304993252361675</v>
      </c>
      <c r="I49" s="283">
        <f t="shared" si="35"/>
        <v>-0.48729999999999996</v>
      </c>
      <c r="J49" s="238">
        <f t="shared" si="36"/>
        <v>2</v>
      </c>
      <c r="K49" s="283">
        <f>IF('Datos de Proyecto'!H34="",0,($B$30*A49)+((A49+1)*$B$32)+0.1)</f>
        <v>0</v>
      </c>
      <c r="L49">
        <f t="shared" si="32"/>
        <v>0</v>
      </c>
      <c r="O49" s="283">
        <f>'Datos de Proyecto'!Q34*'Datos de Proyecto'!$D$26</f>
        <v>0</v>
      </c>
    </row>
    <row r="50" spans="1:15">
      <c r="A50" s="323">
        <f>+'Datos de Proyecto'!H35</f>
        <v>0</v>
      </c>
      <c r="B50" s="276">
        <f t="shared" si="33"/>
        <v>-0.48729999999999996</v>
      </c>
      <c r="C50" s="323">
        <f t="shared" si="31"/>
        <v>1</v>
      </c>
      <c r="D50" s="270">
        <f t="shared" si="41"/>
        <v>2</v>
      </c>
      <c r="E50" s="91">
        <f t="shared" si="38"/>
        <v>2</v>
      </c>
      <c r="F50" s="276">
        <f t="shared" si="39"/>
        <v>-0.48729999999999996</v>
      </c>
      <c r="G50" s="276">
        <f t="shared" si="40"/>
        <v>-0.48729999999999996</v>
      </c>
      <c r="H50" s="279">
        <f t="shared" si="34"/>
        <v>-0.26304993252361675</v>
      </c>
      <c r="I50" s="284">
        <f t="shared" si="35"/>
        <v>-0.48729999999999996</v>
      </c>
      <c r="J50" s="286">
        <f t="shared" si="36"/>
        <v>2</v>
      </c>
      <c r="K50" s="284">
        <f>IF('Datos de Proyecto'!H35="",0,($B$30*A50)+((A50+1)*$B$32)+0.1)</f>
        <v>0</v>
      </c>
      <c r="L50">
        <f t="shared" si="32"/>
        <v>0</v>
      </c>
      <c r="O50" s="284">
        <f>'Datos de Proyecto'!Q35*'Datos de Proyecto'!$D$26</f>
        <v>0</v>
      </c>
    </row>
    <row r="51" spans="1:15">
      <c r="A51" s="324">
        <f>+'Datos de Proyecto'!H36</f>
        <v>0</v>
      </c>
      <c r="B51" s="277">
        <f t="shared" si="33"/>
        <v>-0.48729999999999996</v>
      </c>
      <c r="C51" s="324">
        <f t="shared" si="31"/>
        <v>1</v>
      </c>
      <c r="D51" s="325">
        <f t="shared" si="41"/>
        <v>2</v>
      </c>
      <c r="E51" s="94">
        <f t="shared" si="38"/>
        <v>2</v>
      </c>
      <c r="F51" s="277">
        <f t="shared" si="39"/>
        <v>-0.48729999999999996</v>
      </c>
      <c r="G51" s="277">
        <f t="shared" si="40"/>
        <v>-0.48729999999999996</v>
      </c>
      <c r="H51" s="280">
        <f t="shared" si="34"/>
        <v>-0.26304993252361675</v>
      </c>
      <c r="I51" s="283">
        <f t="shared" si="35"/>
        <v>-0.48729999999999996</v>
      </c>
      <c r="J51" s="238">
        <f t="shared" si="36"/>
        <v>2</v>
      </c>
      <c r="K51" s="283">
        <f>IF('Datos de Proyecto'!H36="",0,($B$30*A51)+((A51+1)*$B$32)+0.1)</f>
        <v>0</v>
      </c>
      <c r="L51">
        <f t="shared" si="32"/>
        <v>0</v>
      </c>
      <c r="O51" s="283">
        <f>'Datos de Proyecto'!Q36*'Datos de Proyecto'!$D$26</f>
        <v>0</v>
      </c>
    </row>
    <row r="52" spans="1:15">
      <c r="A52" s="323">
        <f>+'Datos de Proyecto'!H37</f>
        <v>0</v>
      </c>
      <c r="B52" s="276">
        <f t="shared" si="33"/>
        <v>-0.48729999999999996</v>
      </c>
      <c r="C52" s="323">
        <f t="shared" si="31"/>
        <v>1</v>
      </c>
      <c r="D52" s="270">
        <f t="shared" si="41"/>
        <v>2</v>
      </c>
      <c r="E52" s="91">
        <f t="shared" si="38"/>
        <v>2</v>
      </c>
      <c r="F52" s="276">
        <f t="shared" si="39"/>
        <v>-0.48729999999999996</v>
      </c>
      <c r="G52" s="276">
        <f t="shared" si="40"/>
        <v>-0.48729999999999996</v>
      </c>
      <c r="H52" s="279">
        <f t="shared" si="34"/>
        <v>-0.26304993252361675</v>
      </c>
      <c r="I52" s="284">
        <f t="shared" si="35"/>
        <v>-0.48729999999999996</v>
      </c>
      <c r="J52" s="286">
        <f t="shared" si="36"/>
        <v>2</v>
      </c>
      <c r="K52" s="284">
        <f>IF('Datos de Proyecto'!H37="",0,($B$30*A52)+((A52+1)*$B$32)+0.1)</f>
        <v>0</v>
      </c>
      <c r="L52">
        <f t="shared" si="32"/>
        <v>0</v>
      </c>
      <c r="O52" s="284">
        <f>'Datos de Proyecto'!Q37*'Datos de Proyecto'!$D$26</f>
        <v>0</v>
      </c>
    </row>
    <row r="53" spans="1:15">
      <c r="A53" s="324">
        <f>+'Datos de Proyecto'!H38</f>
        <v>0</v>
      </c>
      <c r="B53" s="277">
        <f t="shared" si="33"/>
        <v>-0.48729999999999996</v>
      </c>
      <c r="C53" s="324">
        <f t="shared" si="31"/>
        <v>1</v>
      </c>
      <c r="D53" s="325">
        <f t="shared" si="41"/>
        <v>2</v>
      </c>
      <c r="E53" s="94">
        <f t="shared" si="38"/>
        <v>2</v>
      </c>
      <c r="F53" s="277">
        <f t="shared" si="39"/>
        <v>-0.48729999999999996</v>
      </c>
      <c r="G53" s="277">
        <f t="shared" si="40"/>
        <v>-0.48729999999999996</v>
      </c>
      <c r="H53" s="280">
        <f t="shared" si="34"/>
        <v>-0.26304993252361675</v>
      </c>
      <c r="I53" s="283">
        <f t="shared" si="35"/>
        <v>-0.48729999999999996</v>
      </c>
      <c r="J53" s="238">
        <f t="shared" si="36"/>
        <v>2</v>
      </c>
      <c r="K53" s="283">
        <f>IF('Datos de Proyecto'!H38="",0,($B$30*A53)+((A53+1)*$B$32)+0.1)</f>
        <v>0</v>
      </c>
      <c r="L53">
        <f t="shared" si="32"/>
        <v>0</v>
      </c>
      <c r="O53" s="283">
        <f>'Datos de Proyecto'!Q38*'Datos de Proyecto'!$D$26</f>
        <v>0</v>
      </c>
    </row>
    <row r="54" spans="1:15">
      <c r="A54" s="323">
        <f>+'Datos de Proyecto'!H39</f>
        <v>0</v>
      </c>
      <c r="B54" s="276">
        <f t="shared" si="33"/>
        <v>-0.48729999999999996</v>
      </c>
      <c r="C54" s="323">
        <f t="shared" si="31"/>
        <v>1</v>
      </c>
      <c r="D54" s="270">
        <f t="shared" si="41"/>
        <v>2</v>
      </c>
      <c r="E54" s="91">
        <f t="shared" si="38"/>
        <v>2</v>
      </c>
      <c r="F54" s="276">
        <f t="shared" si="39"/>
        <v>-0.48729999999999996</v>
      </c>
      <c r="G54" s="276">
        <f t="shared" si="40"/>
        <v>-0.48729999999999996</v>
      </c>
      <c r="H54" s="279">
        <f t="shared" si="34"/>
        <v>-0.26304993252361675</v>
      </c>
      <c r="I54" s="284">
        <f t="shared" si="35"/>
        <v>-0.48729999999999996</v>
      </c>
      <c r="J54" s="286">
        <f t="shared" si="36"/>
        <v>2</v>
      </c>
      <c r="K54" s="284">
        <f>IF('Datos de Proyecto'!H39="",0,($B$30*A54)+((A54+1)*$B$32)+0.1)</f>
        <v>0</v>
      </c>
      <c r="L54">
        <f t="shared" si="32"/>
        <v>0</v>
      </c>
      <c r="O54" s="284">
        <f>'Datos de Proyecto'!Q39*'Datos de Proyecto'!$D$26</f>
        <v>0</v>
      </c>
    </row>
    <row r="55" spans="1:15">
      <c r="A55" s="287">
        <f>+'Datos de Proyecto'!H40</f>
        <v>0</v>
      </c>
      <c r="B55" s="278">
        <f t="shared" si="33"/>
        <v>-0.48729999999999996</v>
      </c>
      <c r="C55" s="287">
        <f t="shared" si="31"/>
        <v>1</v>
      </c>
      <c r="D55" s="326">
        <f>ROUNDUP(C55,0)+1</f>
        <v>2</v>
      </c>
      <c r="E55" s="96">
        <f t="shared" si="38"/>
        <v>2</v>
      </c>
      <c r="F55" s="278">
        <f t="shared" si="39"/>
        <v>-0.48729999999999996</v>
      </c>
      <c r="G55" s="278">
        <f t="shared" si="40"/>
        <v>-0.48729999999999996</v>
      </c>
      <c r="H55" s="281">
        <f t="shared" si="34"/>
        <v>-0.26304993252361675</v>
      </c>
      <c r="I55" s="285">
        <f t="shared" si="35"/>
        <v>-0.48729999999999996</v>
      </c>
      <c r="J55" s="287">
        <f t="shared" si="36"/>
        <v>2</v>
      </c>
      <c r="K55" s="285">
        <f>IF('Datos de Proyecto'!H40="",0,($B$30*A55)+((A55+1)*$B$32)+0.1)</f>
        <v>0</v>
      </c>
      <c r="L55">
        <f t="shared" si="32"/>
        <v>0</v>
      </c>
      <c r="O55" s="285">
        <f>'Datos de Proyecto'!Q40*'Datos de Proyecto'!$D$26</f>
        <v>0</v>
      </c>
    </row>
    <row r="56" spans="1:15">
      <c r="C56" s="251"/>
    </row>
  </sheetData>
  <mergeCells count="4">
    <mergeCell ref="Y6:AH6"/>
    <mergeCell ref="A34:J34"/>
    <mergeCell ref="A6:K6"/>
    <mergeCell ref="M6:W6"/>
  </mergeCells>
  <conditionalFormatting sqref="AE8">
    <cfRule type="colorScale" priority="1">
      <colorScale>
        <cfvo type="min"/>
        <cfvo type="percentile" val="50"/>
        <cfvo type="max"/>
        <color rgb="FFF8696B"/>
        <color rgb="FFFCFCFF"/>
        <color rgb="FF5A8AC6"/>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2F989-0D8C-490C-9A7B-0CB34E3F22F5}">
  <sheetPr codeName="Hoja1"/>
  <dimension ref="A1:U104"/>
  <sheetViews>
    <sheetView showZeros="0" topLeftCell="A9" zoomScale="70" zoomScaleNormal="70" workbookViewId="0">
      <selection activeCell="Q22" sqref="Q22"/>
    </sheetView>
  </sheetViews>
  <sheetFormatPr defaultColWidth="11.453125" defaultRowHeight="13"/>
  <cols>
    <col min="1" max="1" width="9.1796875" style="2" customWidth="1"/>
    <col min="2" max="2" width="25.1796875" style="2" customWidth="1"/>
    <col min="3" max="3" width="15.1796875" style="2" customWidth="1"/>
    <col min="4" max="4" width="21.81640625" style="2" customWidth="1"/>
    <col min="5" max="6" width="2.54296875" style="2" customWidth="1"/>
    <col min="7" max="7" width="17.1796875" style="2" customWidth="1"/>
    <col min="8" max="8" width="17" style="2" customWidth="1"/>
    <col min="9" max="9" width="6.81640625" style="2" customWidth="1"/>
    <col min="10" max="10" width="16" style="2" customWidth="1"/>
    <col min="11" max="11" width="18" style="2" customWidth="1"/>
    <col min="12" max="12" width="6" style="2" customWidth="1"/>
    <col min="13" max="13" width="15.81640625" style="2" customWidth="1"/>
    <col min="14" max="14" width="18" style="2" customWidth="1"/>
    <col min="15" max="15" width="6" style="2" customWidth="1"/>
    <col min="16" max="16" width="15.81640625" style="2" customWidth="1"/>
    <col min="17" max="17" width="18" style="2" customWidth="1"/>
    <col min="18" max="18" width="6.1796875" style="2" customWidth="1"/>
    <col min="19" max="19" width="14.81640625" style="2" customWidth="1"/>
    <col min="20" max="20" width="16.81640625" style="2" customWidth="1"/>
    <col min="21" max="21" width="16.1796875" style="2" bestFit="1" customWidth="1"/>
    <col min="22" max="16384" width="11.453125" style="2"/>
  </cols>
  <sheetData>
    <row r="1" spans="2:21" ht="18" customHeight="1"/>
    <row r="2" spans="2:21" ht="18" customHeight="1">
      <c r="I2" s="13"/>
    </row>
    <row r="3" spans="2:21" ht="18" customHeight="1">
      <c r="D3" s="56"/>
      <c r="E3" s="56"/>
      <c r="F3" s="57"/>
      <c r="I3" s="13"/>
      <c r="M3" s="13"/>
      <c r="N3" s="13" t="s">
        <v>30</v>
      </c>
      <c r="S3" s="55"/>
    </row>
    <row r="4" spans="2:21" ht="27" customHeight="1">
      <c r="D4" s="56"/>
      <c r="E4" s="56"/>
      <c r="F4" s="58"/>
      <c r="M4" s="13"/>
      <c r="N4" s="13" t="s">
        <v>31</v>
      </c>
    </row>
    <row r="5" spans="2:21" ht="18" customHeight="1">
      <c r="C5" s="55"/>
      <c r="G5" s="60"/>
      <c r="S5" s="59"/>
    </row>
    <row r="6" spans="2:21" ht="18" customHeight="1">
      <c r="C6" s="55"/>
      <c r="G6" s="60"/>
      <c r="S6" s="59"/>
    </row>
    <row r="7" spans="2:21" ht="18" customHeight="1">
      <c r="C7" s="61"/>
      <c r="D7" s="61"/>
      <c r="E7" s="61"/>
      <c r="F7" s="61"/>
      <c r="G7" s="61"/>
      <c r="H7" s="61"/>
      <c r="I7" s="446" t="str">
        <f>IF(D30="TPO","PARA LOS TECHOS TIPO TPO BUSQUE ASESORIA DIRECTA DEL DEPARTAMENTO DE INGENIERIA","AÑADA LOS DATOS NECESARIOS PARA SU DESPIECE")</f>
        <v>AÑADA LOS DATOS NECESARIOS PARA SU DESPIECE</v>
      </c>
      <c r="J7" s="446"/>
      <c r="K7" s="446"/>
      <c r="L7" s="446"/>
      <c r="M7" s="446"/>
      <c r="N7" s="446"/>
      <c r="O7" s="446"/>
      <c r="P7" s="13" t="s">
        <v>32</v>
      </c>
      <c r="S7" s="59"/>
    </row>
    <row r="8" spans="2:21" ht="18" customHeight="1">
      <c r="C8" s="61"/>
      <c r="D8" s="61"/>
      <c r="E8" s="61"/>
      <c r="F8" s="61"/>
      <c r="G8" s="61"/>
      <c r="H8" s="61"/>
      <c r="I8" s="446"/>
      <c r="J8" s="446"/>
      <c r="K8" s="446"/>
      <c r="L8" s="446"/>
      <c r="M8" s="446"/>
      <c r="N8" s="446"/>
      <c r="O8" s="446"/>
      <c r="P8" s="13"/>
      <c r="S8" s="59"/>
    </row>
    <row r="9" spans="2:21" ht="18" customHeight="1">
      <c r="B9" s="405" t="s">
        <v>33</v>
      </c>
      <c r="C9" s="406"/>
      <c r="D9" s="407"/>
      <c r="E9" s="61"/>
      <c r="F9" s="61"/>
      <c r="G9" s="456">
        <f>IF('Velocidades de viento'!M23="TRUE","El Angulo ingresado es superior al máximo permitido para ese tipo de solución.",0)</f>
        <v>0</v>
      </c>
      <c r="H9" s="456"/>
      <c r="I9" s="456"/>
      <c r="J9" s="456"/>
      <c r="K9" s="456"/>
      <c r="L9" s="401"/>
      <c r="M9" s="446"/>
      <c r="N9" s="446"/>
      <c r="O9" s="401"/>
      <c r="P9" s="446"/>
      <c r="Q9" s="446"/>
    </row>
    <row r="10" spans="2:21" s="62" customFormat="1" ht="18" customHeight="1">
      <c r="B10" s="63" t="s">
        <v>34</v>
      </c>
      <c r="C10" s="441"/>
      <c r="D10" s="442"/>
      <c r="E10" s="59"/>
      <c r="G10" s="456"/>
      <c r="H10" s="456"/>
      <c r="I10" s="456"/>
      <c r="J10" s="456"/>
      <c r="K10" s="456"/>
      <c r="L10" s="401"/>
      <c r="M10" s="446"/>
      <c r="N10" s="446"/>
      <c r="O10" s="401"/>
      <c r="P10" s="446"/>
      <c r="Q10" s="446"/>
    </row>
    <row r="11" spans="2:21" ht="18" customHeight="1">
      <c r="B11" s="63" t="s">
        <v>35</v>
      </c>
      <c r="C11" s="431"/>
      <c r="D11" s="432"/>
      <c r="E11" s="3"/>
      <c r="G11" s="55"/>
      <c r="I11" s="53"/>
      <c r="J11" s="53"/>
      <c r="K11" s="53"/>
      <c r="L11" s="53"/>
      <c r="M11" s="53"/>
    </row>
    <row r="12" spans="2:21" ht="18" customHeight="1">
      <c r="B12" s="63" t="s">
        <v>36</v>
      </c>
      <c r="C12" s="433"/>
      <c r="D12" s="434"/>
      <c r="E12" s="3"/>
      <c r="H12" s="55"/>
      <c r="I12" s="53"/>
      <c r="J12" s="53"/>
      <c r="K12" s="53"/>
      <c r="L12" s="53"/>
      <c r="M12" s="53"/>
      <c r="S12" s="426" t="s">
        <v>37</v>
      </c>
      <c r="T12" s="426"/>
      <c r="U12" s="426"/>
    </row>
    <row r="13" spans="2:21" ht="18" customHeight="1">
      <c r="E13" s="3"/>
      <c r="G13" s="451"/>
      <c r="H13" s="451"/>
      <c r="I13" s="53"/>
      <c r="J13" s="451"/>
      <c r="K13" s="451"/>
      <c r="L13" s="53"/>
      <c r="M13" s="451"/>
      <c r="N13" s="451"/>
      <c r="P13" s="451"/>
      <c r="Q13" s="451"/>
      <c r="S13" s="426"/>
      <c r="T13" s="426"/>
      <c r="U13" s="426"/>
    </row>
    <row r="14" spans="2:21" ht="18" customHeight="1">
      <c r="B14" s="405" t="s">
        <v>38</v>
      </c>
      <c r="C14" s="406"/>
      <c r="D14" s="407"/>
      <c r="F14" s="64"/>
      <c r="G14" s="452"/>
      <c r="H14" s="452"/>
      <c r="I14" s="64"/>
      <c r="J14" s="452"/>
      <c r="K14" s="452"/>
      <c r="M14" s="452"/>
      <c r="N14" s="452"/>
      <c r="P14" s="452"/>
      <c r="Q14" s="452"/>
      <c r="R14" s="53"/>
      <c r="S14" s="428" t="s">
        <v>39</v>
      </c>
      <c r="T14" s="428"/>
      <c r="U14" s="183">
        <f>(U15*D24)/1000</f>
        <v>24.6</v>
      </c>
    </row>
    <row r="15" spans="2:21" ht="18" customHeight="1">
      <c r="B15" s="65" t="s">
        <v>40</v>
      </c>
      <c r="C15" s="429" t="s">
        <v>274</v>
      </c>
      <c r="D15" s="430"/>
      <c r="G15" s="451"/>
      <c r="H15" s="451"/>
      <c r="J15" s="451"/>
      <c r="K15" s="451"/>
      <c r="L15" s="53"/>
      <c r="M15" s="451"/>
      <c r="N15" s="451"/>
      <c r="P15" s="451"/>
      <c r="Q15" s="451"/>
      <c r="S15" s="416" t="s">
        <v>42</v>
      </c>
      <c r="T15" s="417"/>
      <c r="U15" s="184">
        <f>SUM(G42,J42,M42,P42)</f>
        <v>40</v>
      </c>
    </row>
    <row r="16" spans="2:21" ht="18.649999999999999" customHeight="1">
      <c r="B16" s="65" t="s">
        <v>43</v>
      </c>
      <c r="C16" s="447">
        <f>(VLOOKUP(C15,'Velocidades de viento'!C2:K225,6,FALSE))</f>
        <v>120</v>
      </c>
      <c r="D16" s="448"/>
      <c r="E16" s="53"/>
      <c r="G16" s="451"/>
      <c r="H16" s="451"/>
      <c r="I16" s="53"/>
      <c r="J16" s="451"/>
      <c r="K16" s="451"/>
      <c r="L16" s="53"/>
      <c r="M16" s="451"/>
      <c r="N16" s="451"/>
      <c r="P16" s="451"/>
      <c r="Q16" s="451"/>
    </row>
    <row r="17" spans="1:19" ht="18" customHeight="1">
      <c r="A17" s="64"/>
      <c r="B17" s="65" t="s">
        <v>44</v>
      </c>
      <c r="C17" s="449" t="str">
        <f>VLOOKUP(C15,'Velocidades de viento'!C2:K225,9,FALSE)</f>
        <v>D</v>
      </c>
      <c r="D17" s="450"/>
      <c r="F17" s="64"/>
      <c r="G17" s="452"/>
      <c r="H17" s="452"/>
      <c r="I17" s="64"/>
      <c r="J17" s="452"/>
      <c r="K17" s="452"/>
      <c r="M17" s="452"/>
      <c r="N17" s="452"/>
      <c r="P17" s="452"/>
      <c r="Q17" s="452"/>
      <c r="R17" s="53"/>
      <c r="S17" s="53"/>
    </row>
    <row r="18" spans="1:19" ht="18" customHeight="1">
      <c r="B18" s="182" t="s">
        <v>45</v>
      </c>
      <c r="C18" s="437">
        <f>VLOOKUP(C15,'Velocidades de viento'!C2:K225,8,FALSE)</f>
        <v>20</v>
      </c>
      <c r="D18" s="438"/>
      <c r="E18" s="53"/>
      <c r="G18" s="427" t="s">
        <v>46</v>
      </c>
      <c r="H18" s="427"/>
      <c r="I18" s="53"/>
      <c r="J18" s="427" t="s">
        <v>47</v>
      </c>
      <c r="K18" s="427"/>
      <c r="L18" s="53"/>
      <c r="M18" s="427" t="s">
        <v>48</v>
      </c>
      <c r="N18" s="427"/>
      <c r="P18" s="427" t="s">
        <v>49</v>
      </c>
      <c r="Q18" s="427"/>
    </row>
    <row r="19" spans="1:19" ht="18" customHeight="1">
      <c r="A19" s="53"/>
      <c r="B19" s="69" t="s">
        <v>10</v>
      </c>
      <c r="C19" s="458">
        <v>3</v>
      </c>
      <c r="D19" s="459"/>
      <c r="F19" s="66"/>
      <c r="G19" s="439" t="s">
        <v>50</v>
      </c>
      <c r="H19" s="440"/>
      <c r="I19" s="272"/>
      <c r="J19" s="439" t="s">
        <v>50</v>
      </c>
      <c r="K19" s="440"/>
      <c r="L19" s="66"/>
      <c r="M19" s="439" t="s">
        <v>50</v>
      </c>
      <c r="N19" s="440"/>
      <c r="P19" s="439" t="s">
        <v>50</v>
      </c>
      <c r="Q19" s="440"/>
    </row>
    <row r="20" spans="1:19" ht="36" customHeight="1">
      <c r="B20" s="453" t="str">
        <f>+VLOOKUP(C19,'Velocidades de viento'!Q15:R18,2,1)</f>
        <v>Terreno con obstrucciones menores de 10m de alto. (Zonas residenciales)</v>
      </c>
      <c r="C20" s="453"/>
      <c r="D20" s="453"/>
      <c r="E20" s="67"/>
      <c r="F20" s="68"/>
      <c r="G20" s="210" t="s">
        <v>51</v>
      </c>
      <c r="H20" s="211" t="s">
        <v>52</v>
      </c>
      <c r="I20" s="265"/>
      <c r="J20" s="210" t="s">
        <v>51</v>
      </c>
      <c r="K20" s="211" t="s">
        <v>53</v>
      </c>
      <c r="L20" s="265"/>
      <c r="M20" s="210" t="s">
        <v>51</v>
      </c>
      <c r="N20" s="211" t="s">
        <v>53</v>
      </c>
      <c r="O20" s="265"/>
      <c r="P20" s="210" t="s">
        <v>51</v>
      </c>
      <c r="Q20" s="211" t="s">
        <v>53</v>
      </c>
      <c r="R20" s="53"/>
    </row>
    <row r="21" spans="1:19" ht="18" customHeight="1">
      <c r="B21" s="390"/>
      <c r="C21" s="390"/>
      <c r="D21" s="390"/>
      <c r="G21" s="4">
        <v>1</v>
      </c>
      <c r="H21" s="5">
        <v>10</v>
      </c>
      <c r="I21" s="53"/>
      <c r="J21" s="4"/>
      <c r="K21" s="5"/>
      <c r="L21" s="53"/>
      <c r="M21" s="4"/>
      <c r="N21" s="6"/>
      <c r="O21" s="53"/>
      <c r="P21" s="4">
        <v>1</v>
      </c>
      <c r="Q21" s="5">
        <v>10</v>
      </c>
    </row>
    <row r="22" spans="1:19" ht="18" customHeight="1">
      <c r="G22" s="4">
        <v>2</v>
      </c>
      <c r="H22" s="5">
        <v>10</v>
      </c>
      <c r="I22" s="53"/>
      <c r="J22" s="4"/>
      <c r="K22" s="5"/>
      <c r="L22" s="53"/>
      <c r="M22" s="4"/>
      <c r="N22" s="6"/>
      <c r="O22" s="53"/>
      <c r="P22" s="4"/>
      <c r="Q22" s="5"/>
    </row>
    <row r="23" spans="1:19" ht="18" customHeight="1">
      <c r="B23" s="405" t="s">
        <v>54</v>
      </c>
      <c r="C23" s="406"/>
      <c r="D23" s="407"/>
      <c r="G23" s="4"/>
      <c r="H23" s="5"/>
      <c r="I23" s="53"/>
      <c r="J23" s="4"/>
      <c r="K23" s="5"/>
      <c r="L23" s="53"/>
      <c r="M23" s="4"/>
      <c r="N23" s="6"/>
      <c r="O23" s="53"/>
      <c r="P23" s="4"/>
      <c r="Q23" s="5"/>
    </row>
    <row r="24" spans="1:19" ht="18" customHeight="1">
      <c r="B24" s="169" t="s">
        <v>55</v>
      </c>
      <c r="C24" s="170"/>
      <c r="D24" s="108">
        <v>615</v>
      </c>
      <c r="G24" s="4"/>
      <c r="H24" s="5"/>
      <c r="I24" s="53"/>
      <c r="J24" s="4"/>
      <c r="K24" s="5"/>
      <c r="L24" s="53"/>
      <c r="M24" s="4"/>
      <c r="N24" s="6"/>
      <c r="O24" s="53"/>
      <c r="P24" s="4"/>
      <c r="Q24" s="5"/>
      <c r="S24" s="55"/>
    </row>
    <row r="25" spans="1:19" ht="18" customHeight="1">
      <c r="B25" s="169" t="s">
        <v>56</v>
      </c>
      <c r="C25" s="170"/>
      <c r="D25" s="109">
        <v>2.3839999999999999</v>
      </c>
      <c r="G25" s="4"/>
      <c r="H25" s="5"/>
      <c r="I25" s="53"/>
      <c r="J25" s="4"/>
      <c r="K25" s="5"/>
      <c r="L25" s="53"/>
      <c r="M25" s="4"/>
      <c r="N25" s="6"/>
      <c r="O25" s="53"/>
      <c r="P25" s="4"/>
      <c r="Q25" s="5"/>
      <c r="R25" s="55"/>
      <c r="S25" s="55"/>
    </row>
    <row r="26" spans="1:19" ht="18" customHeight="1">
      <c r="B26" s="266" t="s">
        <v>57</v>
      </c>
      <c r="C26" s="267"/>
      <c r="D26" s="109">
        <v>1.1339999999999999</v>
      </c>
      <c r="G26" s="4"/>
      <c r="H26" s="5"/>
      <c r="I26" s="53"/>
      <c r="J26" s="4"/>
      <c r="K26" s="5"/>
      <c r="L26" s="53"/>
      <c r="M26" s="4"/>
      <c r="N26" s="6"/>
      <c r="O26" s="53"/>
      <c r="P26" s="4"/>
      <c r="Q26" s="5"/>
      <c r="R26" s="55"/>
      <c r="S26" s="55"/>
    </row>
    <row r="27" spans="1:19" ht="18" customHeight="1">
      <c r="B27" s="462" t="s">
        <v>58</v>
      </c>
      <c r="C27" s="463"/>
      <c r="D27" s="252">
        <v>35</v>
      </c>
      <c r="G27" s="4"/>
      <c r="H27" s="5"/>
      <c r="I27" s="53"/>
      <c r="J27" s="4"/>
      <c r="K27" s="5"/>
      <c r="L27" s="53"/>
      <c r="M27" s="4"/>
      <c r="N27" s="6"/>
      <c r="O27" s="53"/>
      <c r="P27" s="4"/>
      <c r="Q27" s="5"/>
      <c r="R27" s="55"/>
      <c r="S27" s="55"/>
    </row>
    <row r="28" spans="1:19" ht="18" customHeight="1">
      <c r="G28" s="4"/>
      <c r="H28" s="5"/>
      <c r="I28" s="53"/>
      <c r="J28" s="4"/>
      <c r="K28" s="5"/>
      <c r="L28" s="53"/>
      <c r="M28" s="4"/>
      <c r="N28" s="6"/>
      <c r="O28" s="53"/>
      <c r="P28" s="4"/>
      <c r="Q28" s="5"/>
      <c r="R28" s="55"/>
      <c r="S28" s="55"/>
    </row>
    <row r="29" spans="1:19" ht="18" customHeight="1">
      <c r="B29" s="405" t="s">
        <v>59</v>
      </c>
      <c r="C29" s="406"/>
      <c r="D29" s="407"/>
      <c r="G29" s="4"/>
      <c r="H29" s="5"/>
      <c r="I29" s="53"/>
      <c r="J29" s="4"/>
      <c r="K29" s="5"/>
      <c r="L29" s="53"/>
      <c r="M29" s="4"/>
      <c r="N29" s="6"/>
      <c r="O29" s="53"/>
      <c r="P29" s="4"/>
      <c r="Q29" s="5"/>
      <c r="R29" s="55"/>
      <c r="S29" s="55"/>
    </row>
    <row r="30" spans="1:19" ht="18" customHeight="1">
      <c r="B30" s="454" t="s">
        <v>60</v>
      </c>
      <c r="C30" s="455"/>
      <c r="D30" s="99" t="s">
        <v>18</v>
      </c>
      <c r="G30" s="4"/>
      <c r="H30" s="5"/>
      <c r="I30" s="53"/>
      <c r="J30" s="4"/>
      <c r="K30" s="5"/>
      <c r="L30" s="53"/>
      <c r="M30" s="4"/>
      <c r="N30" s="6"/>
      <c r="O30" s="53"/>
      <c r="P30" s="4"/>
      <c r="Q30" s="5"/>
      <c r="R30" s="55"/>
      <c r="S30" s="55"/>
    </row>
    <row r="31" spans="1:19" ht="18" customHeight="1">
      <c r="B31" s="454" t="s">
        <v>577</v>
      </c>
      <c r="C31" s="455"/>
      <c r="D31" s="396" t="s">
        <v>240</v>
      </c>
      <c r="G31" s="4"/>
      <c r="H31" s="5"/>
      <c r="I31" s="53"/>
      <c r="J31" s="4"/>
      <c r="K31" s="5"/>
      <c r="L31" s="53"/>
      <c r="M31" s="4"/>
      <c r="N31" s="6"/>
      <c r="O31" s="53"/>
      <c r="P31" s="4"/>
      <c r="Q31" s="5"/>
      <c r="R31" s="55"/>
      <c r="S31" s="55"/>
    </row>
    <row r="32" spans="1:19" ht="18" customHeight="1">
      <c r="B32" s="454" t="s">
        <v>578</v>
      </c>
      <c r="C32" s="455"/>
      <c r="D32" s="111"/>
      <c r="G32" s="4"/>
      <c r="H32" s="5"/>
      <c r="I32" s="53"/>
      <c r="J32" s="4"/>
      <c r="K32" s="5"/>
      <c r="L32" s="53"/>
      <c r="M32" s="4"/>
      <c r="N32" s="6"/>
      <c r="O32" s="53"/>
      <c r="P32" s="4"/>
      <c r="Q32" s="5"/>
    </row>
    <row r="33" spans="1:19" ht="18" customHeight="1">
      <c r="B33" s="454" t="s">
        <v>61</v>
      </c>
      <c r="C33" s="455"/>
      <c r="D33" s="110">
        <v>0</v>
      </c>
      <c r="E33" s="144"/>
      <c r="F33" s="147"/>
      <c r="G33" s="4"/>
      <c r="H33" s="5"/>
      <c r="I33" s="54"/>
      <c r="J33" s="4"/>
      <c r="K33" s="5"/>
      <c r="L33" s="70"/>
      <c r="M33" s="4"/>
      <c r="N33" s="6"/>
      <c r="P33" s="4"/>
      <c r="Q33" s="5"/>
    </row>
    <row r="34" spans="1:19" ht="18" customHeight="1">
      <c r="A34" s="71"/>
      <c r="B34" s="435" t="s">
        <v>62</v>
      </c>
      <c r="C34" s="436"/>
      <c r="D34" s="253"/>
      <c r="E34" s="144"/>
      <c r="F34" s="144"/>
      <c r="G34" s="4"/>
      <c r="H34" s="5"/>
      <c r="I34" s="144"/>
      <c r="J34" s="4"/>
      <c r="K34" s="5"/>
      <c r="L34" s="71"/>
      <c r="M34" s="4"/>
      <c r="N34" s="6"/>
      <c r="O34" s="145"/>
      <c r="P34" s="4"/>
      <c r="Q34" s="5"/>
      <c r="R34" s="71"/>
      <c r="S34" s="71"/>
    </row>
    <row r="35" spans="1:19" ht="18" customHeight="1">
      <c r="A35" s="71"/>
      <c r="B35" s="435" t="s">
        <v>63</v>
      </c>
      <c r="C35" s="436"/>
      <c r="D35" s="253"/>
      <c r="E35" s="146"/>
      <c r="F35" s="144"/>
      <c r="G35" s="4"/>
      <c r="H35" s="5"/>
      <c r="I35" s="144"/>
      <c r="J35" s="4"/>
      <c r="K35" s="5"/>
      <c r="L35" s="71"/>
      <c r="M35" s="4"/>
      <c r="N35" s="6"/>
      <c r="O35" s="71"/>
      <c r="P35" s="4"/>
      <c r="Q35" s="5"/>
      <c r="R35" s="71"/>
      <c r="S35" s="71"/>
    </row>
    <row r="36" spans="1:19" ht="18" customHeight="1">
      <c r="A36" s="71"/>
      <c r="B36" s="435" t="s">
        <v>64</v>
      </c>
      <c r="C36" s="436"/>
      <c r="D36" s="99"/>
      <c r="E36" s="144"/>
      <c r="F36" s="146"/>
      <c r="G36" s="4"/>
      <c r="H36" s="5"/>
      <c r="I36" s="147"/>
      <c r="J36" s="4"/>
      <c r="K36" s="5"/>
      <c r="L36" s="146"/>
      <c r="M36" s="4"/>
      <c r="N36" s="6"/>
      <c r="O36" s="148"/>
      <c r="P36" s="4"/>
      <c r="Q36" s="5"/>
      <c r="R36" s="71"/>
      <c r="S36" s="71"/>
    </row>
    <row r="37" spans="1:19" ht="18" customHeight="1">
      <c r="A37" s="71"/>
      <c r="B37" s="435" t="s">
        <v>65</v>
      </c>
      <c r="C37" s="436"/>
      <c r="D37" s="387">
        <v>4.72</v>
      </c>
      <c r="E37" s="144"/>
      <c r="F37" s="144"/>
      <c r="G37" s="4"/>
      <c r="H37" s="5"/>
      <c r="I37" s="144"/>
      <c r="J37" s="4"/>
      <c r="K37" s="5"/>
      <c r="L37" s="144"/>
      <c r="M37" s="4"/>
      <c r="N37" s="6"/>
      <c r="O37" s="71"/>
      <c r="P37" s="4"/>
      <c r="Q37" s="5"/>
      <c r="R37" s="71"/>
      <c r="S37" s="71"/>
    </row>
    <row r="38" spans="1:19" ht="18" customHeight="1">
      <c r="A38" s="71"/>
      <c r="B38" s="443"/>
      <c r="C38" s="443"/>
      <c r="D38" s="403"/>
      <c r="E38" s="146"/>
      <c r="F38" s="144"/>
      <c r="G38" s="4"/>
      <c r="H38" s="5"/>
      <c r="I38" s="144"/>
      <c r="J38" s="4"/>
      <c r="K38" s="5"/>
      <c r="L38" s="144"/>
      <c r="M38" s="4"/>
      <c r="N38" s="6"/>
      <c r="O38" s="71"/>
      <c r="P38" s="4"/>
      <c r="Q38" s="5"/>
      <c r="R38" s="71"/>
      <c r="S38" s="71"/>
    </row>
    <row r="39" spans="1:19" ht="18" customHeight="1">
      <c r="A39" s="71"/>
      <c r="E39" s="144"/>
      <c r="F39" s="146"/>
      <c r="G39" s="4"/>
      <c r="H39" s="5"/>
      <c r="I39" s="146"/>
      <c r="J39" s="4"/>
      <c r="K39" s="5"/>
      <c r="L39" s="147"/>
      <c r="M39" s="4"/>
      <c r="N39" s="6"/>
      <c r="O39" s="146"/>
      <c r="P39" s="4"/>
      <c r="Q39" s="5"/>
      <c r="R39" s="71"/>
      <c r="S39" s="71"/>
    </row>
    <row r="40" spans="1:19" ht="18" customHeight="1">
      <c r="A40" s="71"/>
      <c r="E40" s="71"/>
      <c r="F40" s="144"/>
      <c r="G40" s="4"/>
      <c r="H40" s="5"/>
      <c r="I40" s="144"/>
      <c r="J40" s="4"/>
      <c r="K40" s="5"/>
      <c r="L40" s="144"/>
      <c r="M40" s="4"/>
      <c r="N40" s="6"/>
      <c r="O40" s="144"/>
      <c r="P40" s="4"/>
      <c r="Q40" s="5"/>
      <c r="R40" s="71"/>
      <c r="S40" s="71"/>
    </row>
    <row r="41" spans="1:19" ht="18" customHeight="1">
      <c r="A41" s="71"/>
      <c r="E41" s="71"/>
      <c r="F41" s="71"/>
      <c r="G41" s="167"/>
      <c r="H41" s="5"/>
      <c r="I41" s="71"/>
      <c r="J41" s="4"/>
      <c r="K41" s="5"/>
      <c r="L41" s="71"/>
      <c r="M41" s="4"/>
      <c r="N41" s="6"/>
      <c r="O41" s="71"/>
      <c r="P41" s="4"/>
      <c r="Q41" s="5"/>
      <c r="R41" s="71"/>
      <c r="S41" s="71"/>
    </row>
    <row r="42" spans="1:19" ht="18" customHeight="1">
      <c r="A42" s="71"/>
      <c r="C42" s="460" t="s">
        <v>66</v>
      </c>
      <c r="D42" s="461"/>
      <c r="G42" s="444" cm="1">
        <f t="array" ref="G42">SUM(G21:G40*H21:H40)</f>
        <v>30</v>
      </c>
      <c r="H42" s="445"/>
      <c r="I42" s="71"/>
      <c r="J42" s="444" cm="1">
        <f t="array" ref="J42">SUM(J21:J40*K21:K40)</f>
        <v>0</v>
      </c>
      <c r="K42" s="445"/>
      <c r="L42" s="71"/>
      <c r="M42" s="444" cm="1">
        <f t="array" ref="M42">SUM(M21:M40*N21:N40*2)</f>
        <v>0</v>
      </c>
      <c r="N42" s="445"/>
      <c r="O42" s="71"/>
      <c r="P42" s="444" cm="1">
        <f t="array" ref="P42">SUM(P21:P40*Q21:Q40)</f>
        <v>10</v>
      </c>
      <c r="Q42" s="445"/>
      <c r="R42" s="71"/>
      <c r="S42" s="71"/>
    </row>
    <row r="43" spans="1:19" ht="14.15" customHeight="1">
      <c r="A43" s="71"/>
      <c r="E43" s="71"/>
      <c r="F43" s="71"/>
      <c r="G43" s="71"/>
      <c r="H43" s="71"/>
      <c r="I43" s="71"/>
      <c r="J43" s="71"/>
      <c r="K43" s="71"/>
      <c r="L43" s="71"/>
      <c r="M43" s="71"/>
      <c r="N43" s="71"/>
      <c r="O43" s="71"/>
      <c r="P43" s="71"/>
      <c r="Q43" s="71"/>
      <c r="R43" s="71"/>
      <c r="S43" s="71"/>
    </row>
    <row r="44" spans="1:19" ht="14.15" customHeight="1">
      <c r="A44" s="71"/>
      <c r="E44" s="71"/>
      <c r="F44" s="71"/>
      <c r="G44" s="71"/>
      <c r="H44" s="71"/>
      <c r="I44" s="71"/>
      <c r="J44" s="71"/>
      <c r="K44" s="71"/>
      <c r="L44" s="71"/>
      <c r="M44" s="71"/>
      <c r="N44" s="71"/>
      <c r="O44" s="71"/>
      <c r="P44" s="71"/>
      <c r="Q44" s="71"/>
      <c r="R44" s="71"/>
      <c r="S44" s="71"/>
    </row>
    <row r="45" spans="1:19" ht="14.15" customHeight="1">
      <c r="A45" s="71"/>
      <c r="E45" s="71"/>
      <c r="F45" s="71"/>
      <c r="G45" s="71"/>
      <c r="H45" s="71"/>
      <c r="I45" s="71"/>
      <c r="J45" s="71"/>
      <c r="K45" s="71"/>
      <c r="L45" s="71"/>
      <c r="M45" s="71"/>
      <c r="N45" s="71"/>
      <c r="O45" s="71"/>
      <c r="P45" s="71"/>
      <c r="Q45" s="71"/>
      <c r="R45" s="71"/>
      <c r="S45" s="71"/>
    </row>
    <row r="46" spans="1:19" ht="14.15" customHeight="1">
      <c r="A46" s="71"/>
      <c r="E46" s="71"/>
      <c r="F46" s="71"/>
      <c r="G46" s="71"/>
      <c r="H46" s="71"/>
      <c r="I46" s="71"/>
      <c r="J46" s="71"/>
      <c r="K46" s="71"/>
      <c r="L46" s="71"/>
      <c r="M46" s="71"/>
      <c r="N46" s="71"/>
      <c r="O46" s="71"/>
      <c r="P46" s="71"/>
      <c r="Q46" s="71"/>
      <c r="R46" s="71"/>
      <c r="S46" s="71"/>
    </row>
    <row r="47" spans="1:19" ht="14.15" customHeight="1">
      <c r="A47" s="71"/>
      <c r="E47" s="71"/>
      <c r="F47" s="71"/>
      <c r="G47" s="71"/>
      <c r="H47" s="71"/>
      <c r="I47" s="71"/>
      <c r="J47" s="71"/>
      <c r="K47" s="71"/>
      <c r="L47" s="71"/>
      <c r="M47" s="71"/>
      <c r="N47" s="71"/>
      <c r="O47" s="71"/>
      <c r="P47" s="71"/>
      <c r="Q47" s="71"/>
      <c r="R47" s="71"/>
      <c r="S47" s="71"/>
    </row>
    <row r="48" spans="1:19" ht="14.15" customHeight="1">
      <c r="A48" s="71"/>
      <c r="E48" s="71"/>
      <c r="F48" s="71"/>
      <c r="G48" s="71"/>
      <c r="H48" s="71"/>
      <c r="I48" s="71"/>
      <c r="J48" s="71"/>
      <c r="K48" s="71"/>
      <c r="L48" s="71"/>
      <c r="M48" s="71"/>
      <c r="N48" s="71"/>
      <c r="O48" s="71"/>
      <c r="P48" s="71"/>
      <c r="Q48" s="71"/>
      <c r="R48" s="71"/>
      <c r="S48" s="71"/>
    </row>
    <row r="49" spans="1:19" ht="14.15" customHeight="1">
      <c r="A49" s="71"/>
      <c r="E49" s="71"/>
      <c r="F49" s="71"/>
      <c r="G49" s="71"/>
      <c r="H49" s="71"/>
      <c r="I49" s="71"/>
      <c r="J49" s="71"/>
      <c r="K49" s="71"/>
      <c r="L49" s="71"/>
      <c r="M49" s="71"/>
      <c r="N49" s="71"/>
      <c r="O49" s="71"/>
      <c r="P49" s="71"/>
      <c r="Q49" s="71"/>
      <c r="R49" s="71"/>
      <c r="S49" s="71"/>
    </row>
    <row r="50" spans="1:19" ht="13.5" customHeight="1">
      <c r="A50" s="71"/>
      <c r="B50" s="388"/>
      <c r="C50" s="13"/>
      <c r="D50" s="145"/>
      <c r="E50" s="71"/>
      <c r="F50" s="71"/>
      <c r="G50" s="180"/>
      <c r="H50" s="71"/>
      <c r="I50" s="71"/>
      <c r="J50" s="71"/>
      <c r="K50" s="71"/>
      <c r="L50" s="71"/>
      <c r="M50" s="71"/>
      <c r="N50" s="71"/>
      <c r="O50" s="71"/>
      <c r="P50" s="71"/>
      <c r="Q50" s="71"/>
      <c r="R50" s="71"/>
      <c r="S50" s="71"/>
    </row>
    <row r="51" spans="1:19" ht="13.5" customHeight="1">
      <c r="A51" s="71"/>
      <c r="B51" s="388"/>
      <c r="C51" s="13"/>
      <c r="D51" s="145"/>
      <c r="E51" s="71"/>
      <c r="F51" s="71"/>
      <c r="G51" s="71"/>
      <c r="H51" s="71"/>
      <c r="I51" s="71"/>
      <c r="J51" s="71"/>
      <c r="K51" s="71"/>
      <c r="L51" s="71"/>
      <c r="M51" s="71"/>
      <c r="N51" s="71"/>
      <c r="O51" s="71"/>
      <c r="P51" s="71"/>
      <c r="Q51" s="71"/>
      <c r="R51" s="71"/>
      <c r="S51" s="71"/>
    </row>
    <row r="52" spans="1:19" ht="13.5" customHeight="1">
      <c r="A52" s="71"/>
      <c r="B52" s="388"/>
      <c r="C52" s="13"/>
      <c r="D52" s="145"/>
      <c r="E52" s="71"/>
      <c r="F52" s="71"/>
      <c r="G52" s="71"/>
      <c r="H52" s="71"/>
      <c r="I52" s="71"/>
      <c r="J52" s="71"/>
      <c r="K52" s="71"/>
      <c r="L52" s="71"/>
      <c r="M52" s="71"/>
      <c r="N52" s="71"/>
      <c r="O52" s="71"/>
      <c r="P52" s="71"/>
      <c r="Q52" s="71"/>
      <c r="R52" s="71"/>
      <c r="S52" s="71"/>
    </row>
    <row r="53" spans="1:19" ht="13.5" customHeight="1">
      <c r="A53" s="71"/>
      <c r="B53" s="388"/>
      <c r="C53" s="13"/>
      <c r="D53" s="145"/>
      <c r="E53" s="71"/>
      <c r="F53" s="71"/>
      <c r="G53" s="71"/>
      <c r="H53" s="71"/>
      <c r="I53" s="71"/>
      <c r="J53" s="71"/>
      <c r="K53" s="71"/>
      <c r="L53" s="71"/>
      <c r="M53" s="71"/>
      <c r="N53" s="71"/>
      <c r="O53" s="71"/>
      <c r="P53" s="71"/>
      <c r="Q53" s="71"/>
      <c r="R53" s="71"/>
      <c r="S53" s="71"/>
    </row>
    <row r="54" spans="1:19" ht="13.5" customHeight="1">
      <c r="A54" s="71"/>
      <c r="B54" s="388"/>
      <c r="C54" s="13"/>
      <c r="D54" s="145"/>
      <c r="E54" s="71"/>
      <c r="F54" s="71"/>
      <c r="G54" s="71"/>
      <c r="H54" s="71"/>
      <c r="I54" s="71"/>
      <c r="J54" s="71"/>
      <c r="K54" s="71"/>
      <c r="L54" s="71"/>
      <c r="M54" s="71"/>
      <c r="N54" s="71"/>
      <c r="O54" s="71"/>
      <c r="P54" s="71"/>
      <c r="Q54" s="71"/>
      <c r="R54" s="71"/>
      <c r="S54" s="71"/>
    </row>
    <row r="55" spans="1:19" ht="13.5" customHeight="1">
      <c r="A55" s="71"/>
      <c r="B55" s="388"/>
      <c r="C55" s="13"/>
      <c r="D55" s="145"/>
      <c r="E55" s="71"/>
      <c r="F55" s="71"/>
      <c r="G55" s="71"/>
      <c r="H55" s="71"/>
      <c r="I55" s="71"/>
      <c r="J55" s="71"/>
      <c r="K55" s="71"/>
      <c r="L55" s="71"/>
      <c r="M55" s="71"/>
      <c r="N55" s="71"/>
      <c r="O55" s="71"/>
      <c r="P55" s="71"/>
      <c r="Q55" s="71"/>
      <c r="R55" s="71"/>
      <c r="S55" s="71"/>
    </row>
    <row r="56" spans="1:19" ht="13.5" customHeight="1">
      <c r="A56" s="71"/>
      <c r="B56" s="388"/>
      <c r="C56" s="13"/>
      <c r="D56" s="145"/>
      <c r="E56" s="71"/>
      <c r="F56" s="71"/>
      <c r="G56" s="71"/>
      <c r="H56" s="71"/>
      <c r="I56" s="71"/>
      <c r="J56" s="71"/>
      <c r="K56" s="71"/>
      <c r="L56" s="71"/>
      <c r="M56" s="71"/>
      <c r="N56" s="71"/>
      <c r="O56" s="71"/>
      <c r="P56" s="71"/>
      <c r="Q56" s="71"/>
      <c r="R56" s="71"/>
      <c r="S56" s="71"/>
    </row>
    <row r="57" spans="1:19" ht="13.5" customHeight="1">
      <c r="A57" s="71"/>
      <c r="B57" s="388"/>
      <c r="C57" s="13"/>
      <c r="D57" s="145"/>
      <c r="E57" s="71"/>
      <c r="F57" s="71"/>
      <c r="G57" s="71"/>
      <c r="H57" s="71"/>
      <c r="I57" s="71"/>
      <c r="J57" s="71"/>
      <c r="K57" s="71"/>
      <c r="L57" s="71"/>
      <c r="M57" s="71"/>
      <c r="N57" s="71"/>
      <c r="O57" s="71"/>
      <c r="P57" s="71"/>
      <c r="Q57" s="71"/>
      <c r="R57" s="71"/>
      <c r="S57" s="71"/>
    </row>
    <row r="58" spans="1:19" ht="13.5" customHeight="1">
      <c r="A58" s="71"/>
      <c r="B58" s="388"/>
      <c r="C58" s="13"/>
      <c r="D58" s="145"/>
      <c r="E58" s="71"/>
      <c r="F58" s="71"/>
      <c r="G58" s="71"/>
      <c r="H58" s="71"/>
      <c r="I58" s="71"/>
      <c r="J58" s="71"/>
      <c r="K58" s="71"/>
      <c r="L58" s="71"/>
      <c r="M58" s="71"/>
      <c r="N58" s="71"/>
      <c r="O58" s="71"/>
      <c r="P58" s="71"/>
      <c r="Q58" s="71"/>
      <c r="R58" s="71"/>
      <c r="S58" s="71"/>
    </row>
    <row r="59" spans="1:19" ht="13.5" customHeight="1">
      <c r="A59" s="71"/>
      <c r="B59" s="388"/>
      <c r="C59" s="13"/>
      <c r="D59" s="145"/>
      <c r="E59" s="71"/>
      <c r="F59" s="71"/>
      <c r="G59" s="71"/>
      <c r="H59" s="71"/>
      <c r="I59" s="71"/>
      <c r="J59" s="71"/>
      <c r="K59" s="71"/>
      <c r="L59" s="71"/>
      <c r="M59" s="71"/>
      <c r="N59" s="71"/>
      <c r="O59" s="71"/>
      <c r="P59" s="71"/>
      <c r="Q59" s="71"/>
      <c r="R59" s="71"/>
      <c r="S59" s="71"/>
    </row>
    <row r="60" spans="1:19" ht="13.5" customHeight="1">
      <c r="A60" s="71"/>
      <c r="B60" s="388"/>
      <c r="C60" s="13"/>
      <c r="D60" s="145"/>
      <c r="E60" s="71"/>
      <c r="F60" s="71"/>
      <c r="G60" s="71"/>
      <c r="H60" s="71"/>
      <c r="I60" s="71"/>
      <c r="J60" s="71"/>
      <c r="K60" s="71"/>
      <c r="L60" s="71"/>
      <c r="M60" s="71"/>
      <c r="N60" s="71"/>
      <c r="O60" s="71"/>
      <c r="P60" s="71"/>
      <c r="Q60" s="71"/>
      <c r="R60" s="71"/>
      <c r="S60" s="71"/>
    </row>
    <row r="61" spans="1:19" ht="13.5" customHeight="1">
      <c r="A61" s="71"/>
      <c r="B61" s="388"/>
      <c r="C61" s="13"/>
      <c r="D61" s="145"/>
      <c r="E61" s="71"/>
      <c r="F61" s="71"/>
      <c r="G61" s="71"/>
      <c r="H61" s="71"/>
      <c r="I61" s="71"/>
      <c r="J61" s="71"/>
      <c r="K61" s="71"/>
      <c r="L61" s="71"/>
      <c r="M61" s="71"/>
      <c r="N61" s="71"/>
      <c r="O61" s="71"/>
      <c r="P61" s="71"/>
      <c r="Q61" s="71"/>
      <c r="R61" s="71"/>
      <c r="S61" s="71"/>
    </row>
    <row r="62" spans="1:19" ht="13.5" customHeight="1">
      <c r="A62" s="71"/>
      <c r="B62" s="388"/>
      <c r="C62" s="13"/>
      <c r="D62" s="145"/>
      <c r="E62" s="71"/>
      <c r="F62" s="71"/>
      <c r="G62" s="71"/>
      <c r="H62" s="71"/>
      <c r="I62" s="71"/>
      <c r="J62" s="71"/>
      <c r="K62" s="71"/>
      <c r="L62" s="71"/>
      <c r="M62" s="71"/>
      <c r="N62" s="71"/>
      <c r="O62" s="71"/>
      <c r="P62" s="71"/>
      <c r="Q62" s="71"/>
      <c r="R62" s="71"/>
      <c r="S62" s="71"/>
    </row>
    <row r="63" spans="1:19" ht="13.5" customHeight="1">
      <c r="A63" s="71"/>
      <c r="B63" s="389"/>
      <c r="C63" s="13"/>
      <c r="D63" s="145"/>
      <c r="E63" s="71"/>
      <c r="F63" s="71"/>
      <c r="G63" s="71"/>
      <c r="H63" s="71"/>
      <c r="I63" s="71"/>
      <c r="J63" s="71"/>
      <c r="K63" s="71"/>
      <c r="L63" s="71"/>
      <c r="M63" s="71"/>
      <c r="N63" s="71"/>
      <c r="O63" s="71"/>
      <c r="P63" s="71"/>
      <c r="Q63" s="71"/>
      <c r="R63" s="71"/>
      <c r="S63" s="71"/>
    </row>
    <row r="64" spans="1:19" ht="13.5" customHeight="1">
      <c r="A64" s="71"/>
      <c r="B64" s="389"/>
      <c r="C64" s="13"/>
      <c r="D64" s="145"/>
      <c r="E64" s="71"/>
      <c r="F64" s="71"/>
      <c r="G64" s="71"/>
      <c r="H64" s="71"/>
      <c r="I64" s="71"/>
      <c r="J64" s="71"/>
      <c r="K64" s="71"/>
      <c r="L64" s="71"/>
      <c r="M64" s="71"/>
      <c r="N64" s="71"/>
      <c r="O64" s="71"/>
      <c r="P64" s="71"/>
      <c r="Q64" s="71"/>
      <c r="R64" s="71"/>
      <c r="S64" s="71"/>
    </row>
    <row r="65" spans="1:19" ht="13.5" customHeight="1">
      <c r="A65" s="71"/>
      <c r="B65" s="389"/>
      <c r="C65" s="13"/>
      <c r="D65" s="145"/>
      <c r="E65" s="71"/>
      <c r="F65" s="71"/>
      <c r="G65" s="71"/>
      <c r="H65" s="71"/>
      <c r="I65" s="71"/>
      <c r="J65" s="71"/>
      <c r="K65" s="71"/>
      <c r="L65" s="71"/>
      <c r="M65" s="71"/>
      <c r="N65" s="71"/>
      <c r="O65" s="71"/>
      <c r="P65" s="71"/>
      <c r="Q65" s="71"/>
      <c r="R65" s="71"/>
      <c r="S65" s="71"/>
    </row>
    <row r="66" spans="1:19" ht="13.5" customHeight="1">
      <c r="A66" s="71"/>
      <c r="B66" s="389"/>
      <c r="C66" s="13"/>
      <c r="D66" s="145"/>
      <c r="E66" s="71"/>
      <c r="F66" s="71"/>
      <c r="G66" s="71"/>
      <c r="H66" s="71"/>
      <c r="I66" s="71"/>
      <c r="J66" s="71"/>
      <c r="K66" s="71"/>
      <c r="L66" s="71"/>
      <c r="M66" s="71"/>
      <c r="N66" s="71"/>
      <c r="O66" s="71"/>
      <c r="P66" s="71"/>
      <c r="Q66" s="71"/>
      <c r="R66" s="71"/>
      <c r="S66" s="71"/>
    </row>
    <row r="67" spans="1:19" ht="13.5" customHeight="1">
      <c r="A67" s="71"/>
      <c r="B67" s="389"/>
      <c r="C67" s="13"/>
      <c r="D67" s="145"/>
      <c r="E67" s="71"/>
      <c r="F67" s="71"/>
      <c r="G67" s="71"/>
      <c r="H67" s="71"/>
      <c r="I67" s="71"/>
      <c r="J67" s="71"/>
      <c r="K67" s="71"/>
      <c r="L67" s="71"/>
      <c r="M67" s="71"/>
      <c r="N67" s="71"/>
      <c r="O67" s="71"/>
      <c r="P67" s="71"/>
      <c r="Q67" s="71"/>
      <c r="R67" s="71"/>
      <c r="S67" s="71"/>
    </row>
    <row r="68" spans="1:19" ht="13.5" customHeight="1">
      <c r="A68" s="71"/>
      <c r="B68" s="389"/>
      <c r="C68" s="13"/>
      <c r="D68" s="145"/>
      <c r="E68" s="71"/>
      <c r="F68" s="71"/>
      <c r="G68" s="71"/>
      <c r="H68" s="71"/>
      <c r="I68" s="71"/>
      <c r="J68" s="71"/>
      <c r="K68" s="71"/>
      <c r="L68" s="71"/>
      <c r="M68" s="71"/>
      <c r="N68" s="71"/>
      <c r="O68" s="71"/>
      <c r="P68" s="71"/>
      <c r="Q68" s="71"/>
      <c r="R68" s="71"/>
      <c r="S68" s="71"/>
    </row>
    <row r="69" spans="1:19" ht="13.5" customHeight="1">
      <c r="A69" s="71"/>
      <c r="B69" s="389"/>
      <c r="C69" s="13"/>
      <c r="D69" s="145"/>
      <c r="E69" s="71"/>
      <c r="F69" s="71"/>
      <c r="G69" s="71"/>
      <c r="H69" s="71"/>
      <c r="I69" s="71"/>
      <c r="J69" s="71"/>
      <c r="K69" s="71"/>
      <c r="L69" s="71"/>
      <c r="M69" s="71"/>
      <c r="N69" s="71"/>
      <c r="O69" s="71"/>
      <c r="P69" s="71"/>
      <c r="Q69" s="71"/>
      <c r="R69" s="71"/>
      <c r="S69" s="71"/>
    </row>
    <row r="70" spans="1:19" ht="13.5" customHeight="1">
      <c r="A70" s="71"/>
      <c r="B70" s="389"/>
      <c r="C70" s="13"/>
      <c r="D70" s="145"/>
      <c r="E70" s="71"/>
      <c r="F70" s="71"/>
      <c r="G70" s="71"/>
      <c r="H70" s="71"/>
      <c r="I70" s="71"/>
      <c r="J70" s="71"/>
      <c r="K70" s="71"/>
      <c r="L70" s="71"/>
      <c r="M70" s="71"/>
      <c r="N70" s="71"/>
      <c r="O70" s="71"/>
      <c r="P70" s="71"/>
      <c r="Q70" s="71"/>
      <c r="R70" s="71"/>
      <c r="S70" s="71"/>
    </row>
    <row r="71" spans="1:19" ht="13.5" customHeight="1">
      <c r="A71" s="71"/>
      <c r="B71" s="389"/>
      <c r="C71" s="13"/>
      <c r="D71" s="145"/>
      <c r="E71" s="71"/>
      <c r="F71" s="71"/>
      <c r="G71" s="71"/>
      <c r="H71" s="71"/>
      <c r="I71" s="71"/>
      <c r="J71" s="71"/>
      <c r="K71" s="71"/>
      <c r="L71" s="71"/>
      <c r="M71" s="71"/>
      <c r="N71" s="71"/>
      <c r="O71" s="71"/>
      <c r="P71" s="71"/>
      <c r="Q71" s="71"/>
      <c r="R71" s="71"/>
      <c r="S71" s="71"/>
    </row>
    <row r="72" spans="1:19" ht="13.5" customHeight="1">
      <c r="A72" s="71"/>
      <c r="B72" s="389"/>
      <c r="C72" s="13"/>
      <c r="D72" s="145"/>
      <c r="E72" s="71"/>
      <c r="F72" s="71"/>
      <c r="G72" s="71"/>
      <c r="H72" s="71"/>
      <c r="I72" s="71"/>
      <c r="J72" s="71"/>
      <c r="K72" s="71"/>
      <c r="L72" s="71"/>
      <c r="M72" s="71"/>
      <c r="N72" s="71"/>
      <c r="O72" s="71"/>
      <c r="P72" s="71"/>
      <c r="Q72" s="71"/>
      <c r="R72" s="71"/>
      <c r="S72" s="71"/>
    </row>
    <row r="73" spans="1:19" ht="13.5" customHeight="1">
      <c r="A73" s="71"/>
      <c r="B73" s="389"/>
      <c r="C73" s="13"/>
      <c r="D73" s="145"/>
      <c r="E73" s="71"/>
      <c r="F73" s="71"/>
      <c r="G73" s="71"/>
      <c r="H73" s="71"/>
      <c r="I73" s="71"/>
      <c r="J73" s="71"/>
      <c r="K73" s="71"/>
      <c r="L73" s="71"/>
      <c r="M73" s="71"/>
      <c r="N73" s="71"/>
      <c r="O73" s="71"/>
      <c r="P73" s="71"/>
      <c r="Q73" s="71"/>
      <c r="R73" s="71"/>
      <c r="S73" s="71"/>
    </row>
    <row r="74" spans="1:19" ht="13.5" customHeight="1">
      <c r="A74" s="71"/>
      <c r="B74" s="389"/>
      <c r="C74" s="13"/>
      <c r="D74" s="162"/>
      <c r="E74" s="71"/>
      <c r="F74" s="71"/>
      <c r="G74" s="71"/>
      <c r="H74" s="71"/>
      <c r="I74" s="71"/>
      <c r="J74" s="71"/>
      <c r="K74" s="71"/>
      <c r="L74" s="71"/>
      <c r="M74" s="71"/>
      <c r="N74" s="71"/>
      <c r="O74" s="71"/>
      <c r="P74" s="71"/>
      <c r="Q74" s="71"/>
      <c r="R74" s="71"/>
      <c r="S74" s="71"/>
    </row>
    <row r="75" spans="1:19" ht="13.5" customHeight="1">
      <c r="A75" s="71"/>
      <c r="B75" s="389"/>
      <c r="C75" s="13"/>
      <c r="D75" s="162"/>
      <c r="E75" s="71"/>
      <c r="F75" s="71"/>
      <c r="G75" s="71"/>
      <c r="H75" s="71"/>
      <c r="I75" s="71"/>
      <c r="J75" s="71"/>
      <c r="K75" s="71"/>
      <c r="L75" s="71"/>
      <c r="M75" s="71"/>
      <c r="N75" s="71"/>
      <c r="O75" s="71"/>
      <c r="P75" s="71"/>
      <c r="Q75" s="71"/>
      <c r="R75" s="71"/>
      <c r="S75" s="71"/>
    </row>
    <row r="76" spans="1:19" ht="13.5" customHeight="1">
      <c r="A76" s="71"/>
      <c r="B76" s="389"/>
      <c r="C76" s="13"/>
      <c r="D76" s="162"/>
      <c r="E76" s="71"/>
      <c r="F76" s="71"/>
      <c r="G76" s="71"/>
      <c r="H76" s="71"/>
      <c r="I76" s="71"/>
      <c r="J76" s="71"/>
      <c r="K76" s="71"/>
      <c r="L76" s="71"/>
      <c r="M76" s="71"/>
      <c r="N76" s="71"/>
      <c r="O76" s="71"/>
      <c r="P76" s="71"/>
      <c r="Q76" s="71"/>
      <c r="R76" s="71"/>
      <c r="S76" s="71"/>
    </row>
    <row r="77" spans="1:19" ht="13.5" customHeight="1">
      <c r="A77" s="71"/>
      <c r="B77" s="389"/>
      <c r="C77" s="13"/>
      <c r="D77" s="162"/>
      <c r="E77" s="71"/>
      <c r="F77" s="71"/>
      <c r="G77" s="71"/>
      <c r="H77" s="71"/>
      <c r="I77" s="71"/>
      <c r="J77" s="71"/>
      <c r="K77" s="71"/>
      <c r="L77" s="71"/>
      <c r="M77" s="71"/>
      <c r="N77" s="71"/>
      <c r="O77" s="71"/>
      <c r="P77" s="71"/>
      <c r="Q77" s="71"/>
      <c r="R77" s="71"/>
      <c r="S77" s="71"/>
    </row>
    <row r="78" spans="1:19" ht="13.5" customHeight="1">
      <c r="A78" s="71"/>
      <c r="B78" s="389"/>
      <c r="C78" s="13"/>
      <c r="D78" s="162"/>
      <c r="E78" s="71"/>
      <c r="F78" s="71"/>
      <c r="G78" s="71"/>
      <c r="H78" s="71"/>
      <c r="I78" s="71"/>
      <c r="J78" s="71"/>
      <c r="K78" s="71"/>
      <c r="L78" s="71"/>
      <c r="M78" s="71"/>
      <c r="N78" s="71"/>
      <c r="O78" s="71"/>
      <c r="P78" s="71"/>
      <c r="Q78" s="71"/>
      <c r="R78" s="71"/>
      <c r="S78" s="71"/>
    </row>
    <row r="79" spans="1:19">
      <c r="A79" s="71"/>
      <c r="B79" s="457"/>
      <c r="C79" s="13"/>
      <c r="D79" s="162"/>
      <c r="E79" s="71"/>
      <c r="F79" s="71"/>
      <c r="G79" s="71"/>
      <c r="H79" s="71"/>
      <c r="I79" s="71"/>
      <c r="J79" s="71"/>
      <c r="K79" s="71"/>
      <c r="L79" s="71"/>
      <c r="M79" s="71"/>
      <c r="N79" s="71"/>
      <c r="O79" s="71"/>
      <c r="P79" s="71"/>
      <c r="Q79" s="71"/>
      <c r="R79" s="71"/>
      <c r="S79" s="71"/>
    </row>
    <row r="80" spans="1:19">
      <c r="A80" s="71"/>
      <c r="B80" s="457"/>
      <c r="C80" s="13"/>
      <c r="D80" s="162"/>
      <c r="E80" s="71"/>
      <c r="F80" s="71"/>
      <c r="G80" s="71"/>
      <c r="H80" s="71"/>
      <c r="I80" s="71"/>
      <c r="J80" s="71"/>
      <c r="K80" s="71"/>
      <c r="L80" s="71"/>
      <c r="M80" s="71"/>
      <c r="N80" s="71"/>
      <c r="O80" s="71"/>
      <c r="P80" s="71"/>
      <c r="Q80" s="71"/>
      <c r="R80" s="71"/>
      <c r="S80" s="71"/>
    </row>
    <row r="81" spans="1:19">
      <c r="A81" s="71"/>
      <c r="B81" s="457"/>
      <c r="C81" s="13"/>
      <c r="D81" s="162"/>
      <c r="E81" s="71"/>
      <c r="F81" s="71"/>
      <c r="G81" s="71"/>
      <c r="H81" s="71"/>
      <c r="I81" s="71"/>
      <c r="J81" s="71"/>
      <c r="K81" s="71"/>
      <c r="L81" s="71"/>
      <c r="M81" s="71"/>
      <c r="N81" s="71"/>
      <c r="O81" s="71"/>
      <c r="P81" s="71"/>
      <c r="Q81" s="71"/>
      <c r="R81" s="71"/>
      <c r="S81" s="71"/>
    </row>
    <row r="82" spans="1:19">
      <c r="A82" s="71"/>
      <c r="B82" s="457"/>
      <c r="C82" s="13"/>
      <c r="D82" s="162"/>
      <c r="E82" s="71"/>
      <c r="F82" s="71"/>
      <c r="G82" s="71"/>
      <c r="H82" s="71"/>
      <c r="I82" s="71"/>
      <c r="J82" s="71"/>
      <c r="K82" s="71"/>
      <c r="L82" s="71"/>
      <c r="M82" s="71"/>
      <c r="N82" s="71"/>
      <c r="O82" s="71"/>
      <c r="P82" s="71"/>
      <c r="Q82" s="71"/>
      <c r="R82" s="71"/>
      <c r="S82" s="71"/>
    </row>
    <row r="83" spans="1:19">
      <c r="A83" s="71"/>
      <c r="B83" s="457"/>
      <c r="C83" s="13"/>
      <c r="D83" s="162"/>
      <c r="E83" s="71"/>
      <c r="F83" s="71"/>
      <c r="G83" s="71"/>
      <c r="H83" s="71"/>
      <c r="I83" s="71"/>
      <c r="J83" s="71"/>
      <c r="K83" s="71"/>
      <c r="L83" s="71"/>
      <c r="M83" s="71"/>
      <c r="N83" s="71"/>
      <c r="O83" s="71"/>
      <c r="P83" s="71"/>
      <c r="Q83" s="71"/>
      <c r="R83" s="71"/>
      <c r="S83" s="71"/>
    </row>
    <row r="84" spans="1:19">
      <c r="A84" s="71"/>
      <c r="B84" s="457"/>
      <c r="C84" s="13"/>
      <c r="D84" s="162"/>
      <c r="E84" s="71"/>
      <c r="F84" s="71"/>
      <c r="G84" s="71"/>
      <c r="H84" s="71"/>
      <c r="I84" s="71"/>
      <c r="J84" s="71"/>
      <c r="K84" s="71"/>
      <c r="L84" s="71"/>
      <c r="M84" s="71"/>
      <c r="N84" s="71"/>
      <c r="O84" s="71"/>
      <c r="P84" s="71"/>
      <c r="Q84" s="71"/>
      <c r="R84" s="71"/>
      <c r="S84" s="71"/>
    </row>
    <row r="85" spans="1:19">
      <c r="A85" s="71"/>
      <c r="B85" s="457"/>
      <c r="C85" s="13"/>
      <c r="D85" s="162"/>
      <c r="E85" s="71"/>
      <c r="F85" s="71"/>
      <c r="G85" s="71"/>
      <c r="H85" s="71"/>
      <c r="I85" s="71"/>
      <c r="J85" s="71"/>
      <c r="K85" s="71"/>
      <c r="L85" s="71"/>
      <c r="M85" s="71"/>
      <c r="N85" s="71"/>
      <c r="O85" s="71"/>
      <c r="P85" s="71"/>
      <c r="Q85" s="71"/>
      <c r="R85" s="71"/>
      <c r="S85" s="71"/>
    </row>
    <row r="86" spans="1:19">
      <c r="A86" s="71"/>
      <c r="B86" s="457"/>
      <c r="C86" s="13"/>
      <c r="D86" s="162"/>
      <c r="E86" s="71"/>
      <c r="F86" s="71"/>
      <c r="G86" s="71"/>
      <c r="H86" s="71"/>
      <c r="I86" s="71"/>
      <c r="J86" s="71"/>
      <c r="K86" s="71"/>
      <c r="L86" s="71"/>
      <c r="M86" s="71"/>
      <c r="N86" s="71"/>
      <c r="O86" s="71"/>
      <c r="P86" s="71"/>
      <c r="Q86" s="71"/>
      <c r="R86" s="71"/>
      <c r="S86" s="71"/>
    </row>
    <row r="87" spans="1:19">
      <c r="A87" s="71"/>
      <c r="B87" s="457"/>
      <c r="C87" s="13"/>
      <c r="D87" s="162"/>
      <c r="E87" s="71"/>
      <c r="F87" s="71"/>
      <c r="G87" s="71"/>
      <c r="H87" s="71"/>
      <c r="I87" s="71"/>
      <c r="J87" s="71"/>
      <c r="K87" s="71"/>
      <c r="L87" s="71"/>
      <c r="M87" s="71"/>
      <c r="N87" s="71"/>
      <c r="O87" s="71"/>
      <c r="P87" s="71"/>
      <c r="Q87" s="71"/>
      <c r="R87" s="71"/>
      <c r="S87" s="71"/>
    </row>
    <row r="88" spans="1:19">
      <c r="A88" s="71"/>
      <c r="B88" s="457"/>
      <c r="C88" s="13"/>
      <c r="D88" s="162"/>
      <c r="E88" s="71"/>
      <c r="F88" s="71"/>
      <c r="G88" s="71"/>
      <c r="H88" s="71"/>
      <c r="I88" s="71"/>
      <c r="J88" s="71"/>
      <c r="K88" s="71"/>
      <c r="L88" s="71"/>
      <c r="M88" s="71"/>
      <c r="N88" s="71"/>
      <c r="O88" s="71"/>
      <c r="P88" s="71"/>
      <c r="Q88" s="71"/>
      <c r="R88" s="71"/>
      <c r="S88" s="71"/>
    </row>
    <row r="89" spans="1:19">
      <c r="A89" s="71"/>
      <c r="B89" s="457"/>
      <c r="C89" s="13"/>
      <c r="D89" s="162"/>
      <c r="E89" s="71"/>
      <c r="F89" s="71"/>
      <c r="G89" s="71"/>
      <c r="H89" s="71"/>
      <c r="I89" s="71"/>
      <c r="J89" s="71"/>
      <c r="K89" s="71"/>
      <c r="L89" s="71"/>
      <c r="M89" s="71"/>
      <c r="N89" s="71"/>
      <c r="O89" s="71"/>
      <c r="P89" s="71"/>
      <c r="Q89" s="71"/>
      <c r="R89" s="71"/>
      <c r="S89" s="71"/>
    </row>
    <row r="90" spans="1:19">
      <c r="A90" s="71"/>
      <c r="B90" s="457"/>
      <c r="C90" s="13"/>
      <c r="D90" s="162"/>
      <c r="E90" s="71"/>
      <c r="F90" s="71"/>
      <c r="G90" s="71"/>
      <c r="H90" s="71"/>
      <c r="I90" s="71"/>
      <c r="J90" s="71"/>
      <c r="K90" s="71"/>
      <c r="L90" s="71"/>
      <c r="M90" s="71"/>
      <c r="N90" s="71"/>
      <c r="O90" s="71"/>
      <c r="P90" s="71"/>
      <c r="Q90" s="71"/>
      <c r="R90" s="71"/>
      <c r="S90" s="71"/>
    </row>
    <row r="91" spans="1:19">
      <c r="A91" s="71"/>
      <c r="B91" s="457"/>
      <c r="C91" s="13"/>
      <c r="D91" s="162"/>
      <c r="E91" s="71"/>
      <c r="F91" s="71"/>
      <c r="G91" s="71"/>
      <c r="H91" s="71"/>
      <c r="I91" s="71"/>
      <c r="J91" s="71"/>
      <c r="K91" s="71"/>
      <c r="L91" s="71"/>
      <c r="M91" s="71"/>
      <c r="N91" s="71"/>
      <c r="O91" s="71"/>
      <c r="P91" s="71"/>
      <c r="Q91" s="71"/>
      <c r="R91" s="71"/>
      <c r="S91" s="71"/>
    </row>
    <row r="92" spans="1:19">
      <c r="A92" s="71"/>
      <c r="B92" s="457"/>
      <c r="C92" s="13"/>
      <c r="D92" s="162"/>
      <c r="E92" s="71"/>
      <c r="F92" s="71"/>
      <c r="G92" s="71"/>
      <c r="H92" s="71"/>
      <c r="I92" s="71"/>
      <c r="J92" s="71"/>
      <c r="K92" s="71"/>
      <c r="L92" s="71"/>
      <c r="M92" s="71"/>
      <c r="N92" s="71"/>
      <c r="O92" s="71"/>
      <c r="P92" s="71"/>
      <c r="Q92" s="71"/>
      <c r="R92" s="71"/>
      <c r="S92" s="71"/>
    </row>
    <row r="93" spans="1:19">
      <c r="A93" s="71"/>
      <c r="B93" s="457"/>
      <c r="C93" s="13"/>
      <c r="D93" s="162"/>
      <c r="E93" s="71"/>
      <c r="F93" s="71"/>
      <c r="G93" s="71"/>
      <c r="H93" s="71"/>
      <c r="I93" s="71"/>
      <c r="J93" s="71"/>
      <c r="K93" s="71"/>
      <c r="L93" s="71"/>
      <c r="M93" s="71"/>
      <c r="N93" s="71"/>
      <c r="O93" s="71"/>
      <c r="P93" s="71"/>
      <c r="Q93" s="71"/>
      <c r="R93" s="71"/>
      <c r="S93" s="71"/>
    </row>
    <row r="94" spans="1:19">
      <c r="A94" s="71"/>
      <c r="B94" s="457"/>
      <c r="C94" s="13"/>
      <c r="D94" s="162"/>
      <c r="E94" s="71"/>
      <c r="F94" s="71"/>
      <c r="G94" s="71"/>
      <c r="H94" s="71"/>
      <c r="I94" s="71"/>
      <c r="J94" s="71"/>
      <c r="K94" s="71"/>
      <c r="L94" s="71"/>
      <c r="M94" s="71"/>
      <c r="N94" s="71"/>
      <c r="O94" s="71"/>
      <c r="P94" s="71"/>
      <c r="Q94" s="71"/>
      <c r="R94" s="71"/>
      <c r="S94" s="71"/>
    </row>
    <row r="95" spans="1:19">
      <c r="A95" s="71"/>
      <c r="B95" s="13"/>
      <c r="C95" s="13"/>
      <c r="D95" s="13"/>
      <c r="E95" s="71"/>
      <c r="F95" s="71"/>
      <c r="G95" s="71"/>
      <c r="H95" s="71"/>
      <c r="I95" s="71"/>
      <c r="J95" s="71"/>
      <c r="K95" s="71"/>
      <c r="L95" s="71"/>
      <c r="M95" s="71"/>
      <c r="N95" s="71"/>
      <c r="O95" s="71"/>
      <c r="P95" s="71"/>
      <c r="Q95" s="71"/>
      <c r="R95" s="71"/>
      <c r="S95" s="71"/>
    </row>
    <row r="96" spans="1:19">
      <c r="A96" s="71"/>
      <c r="B96" s="71"/>
      <c r="C96" s="71"/>
      <c r="D96" s="71"/>
      <c r="E96" s="71"/>
      <c r="F96" s="71"/>
      <c r="G96" s="71"/>
      <c r="H96" s="71"/>
      <c r="I96" s="71"/>
      <c r="J96" s="71"/>
      <c r="K96" s="71"/>
      <c r="L96" s="71"/>
      <c r="M96" s="71"/>
      <c r="N96" s="71"/>
      <c r="O96" s="71"/>
      <c r="P96" s="71"/>
      <c r="Q96" s="71"/>
      <c r="R96" s="71"/>
      <c r="S96" s="71"/>
    </row>
    <row r="97" spans="1:19">
      <c r="A97" s="71"/>
      <c r="E97" s="71"/>
      <c r="F97" s="71"/>
      <c r="G97" s="71"/>
      <c r="H97" s="71"/>
      <c r="I97" s="71"/>
      <c r="J97" s="71"/>
      <c r="K97" s="71"/>
      <c r="L97" s="71"/>
      <c r="M97" s="71"/>
      <c r="N97" s="71"/>
      <c r="O97" s="71"/>
      <c r="P97" s="71"/>
      <c r="Q97" s="71"/>
      <c r="R97" s="71"/>
      <c r="S97" s="71"/>
    </row>
    <row r="98" spans="1:19">
      <c r="E98" s="71"/>
      <c r="F98" s="71"/>
      <c r="G98" s="71"/>
      <c r="H98" s="71"/>
      <c r="I98" s="71"/>
      <c r="J98" s="71"/>
      <c r="K98" s="71"/>
      <c r="L98" s="71"/>
      <c r="M98" s="71"/>
      <c r="N98" s="71"/>
      <c r="O98" s="71"/>
      <c r="P98" s="71"/>
      <c r="Q98" s="71"/>
      <c r="R98" s="71"/>
      <c r="S98" s="71"/>
    </row>
    <row r="99" spans="1:19">
      <c r="E99" s="71"/>
      <c r="F99" s="71"/>
      <c r="G99" s="71"/>
      <c r="H99" s="71"/>
      <c r="I99" s="71"/>
      <c r="J99" s="71"/>
      <c r="K99" s="71"/>
      <c r="L99" s="71"/>
      <c r="M99" s="71"/>
      <c r="N99" s="71"/>
      <c r="O99" s="71"/>
      <c r="P99" s="71"/>
      <c r="Q99" s="71"/>
      <c r="R99" s="71"/>
      <c r="S99" s="71"/>
    </row>
    <row r="100" spans="1:19">
      <c r="B100" s="71"/>
      <c r="C100" s="71"/>
      <c r="D100" s="71"/>
      <c r="E100" s="71"/>
      <c r="F100" s="71"/>
      <c r="G100" s="71"/>
      <c r="H100" s="71"/>
      <c r="I100" s="71"/>
      <c r="J100" s="71"/>
      <c r="K100" s="71"/>
      <c r="L100" s="71"/>
      <c r="M100" s="71"/>
      <c r="N100" s="71"/>
      <c r="O100" s="71"/>
      <c r="P100" s="71"/>
      <c r="Q100" s="71"/>
      <c r="R100" s="71"/>
      <c r="S100" s="71"/>
    </row>
    <row r="101" spans="1:19">
      <c r="B101" s="71"/>
      <c r="C101" s="71"/>
      <c r="D101" s="71"/>
      <c r="E101" s="71"/>
      <c r="F101" s="71"/>
      <c r="G101" s="71"/>
      <c r="H101" s="71"/>
      <c r="I101" s="71"/>
      <c r="J101" s="71"/>
      <c r="K101" s="71"/>
      <c r="L101" s="71"/>
      <c r="M101" s="71"/>
      <c r="N101" s="71"/>
      <c r="O101" s="71"/>
      <c r="P101" s="71"/>
      <c r="Q101" s="71"/>
      <c r="R101" s="71"/>
      <c r="S101" s="71"/>
    </row>
    <row r="102" spans="1:19">
      <c r="E102" s="71"/>
      <c r="F102" s="71"/>
      <c r="G102" s="71"/>
      <c r="H102" s="71"/>
      <c r="I102" s="71"/>
      <c r="J102" s="71"/>
      <c r="K102" s="71"/>
      <c r="L102" s="71"/>
      <c r="M102" s="71"/>
      <c r="N102" s="71"/>
      <c r="O102" s="71"/>
      <c r="P102" s="71"/>
      <c r="Q102" s="71"/>
      <c r="R102" s="71"/>
      <c r="S102" s="71"/>
    </row>
    <row r="103" spans="1:19">
      <c r="E103" s="71"/>
      <c r="F103" s="71"/>
      <c r="G103" s="71"/>
      <c r="H103" s="71"/>
      <c r="I103" s="71"/>
      <c r="J103" s="71"/>
      <c r="K103" s="71"/>
      <c r="L103" s="71"/>
      <c r="M103" s="71"/>
      <c r="N103" s="71"/>
      <c r="O103" s="71"/>
      <c r="P103" s="71"/>
      <c r="Q103" s="71"/>
      <c r="R103" s="71"/>
      <c r="S103" s="71"/>
    </row>
    <row r="104" spans="1:19">
      <c r="E104" s="71"/>
      <c r="F104" s="71"/>
      <c r="G104" s="71"/>
      <c r="H104" s="71"/>
      <c r="I104" s="71"/>
      <c r="J104" s="71"/>
      <c r="K104" s="71"/>
      <c r="L104" s="71"/>
      <c r="M104" s="71"/>
      <c r="N104" s="71"/>
      <c r="O104" s="71"/>
      <c r="P104" s="71"/>
      <c r="Q104" s="71"/>
      <c r="R104" s="71"/>
      <c r="S104" s="71"/>
    </row>
  </sheetData>
  <sheetProtection algorithmName="SHA-512" hashValue="1P+Vxr/Z+Os9pYoJUPZVSJ4gUi6GZwuXHjeZFOj9gVxYda7RBz2N2GK+A22UX/LFoMjLe1PdfcUYYdncn729KQ==" saltValue="zV8YnCPqgfqrUsjHJ5/YFQ==" spinCount="100000" sheet="1" selectLockedCells="1"/>
  <dataConsolidate link="1"/>
  <mergeCells count="48">
    <mergeCell ref="P9:Q10"/>
    <mergeCell ref="G9:K10"/>
    <mergeCell ref="B79:B94"/>
    <mergeCell ref="G42:H42"/>
    <mergeCell ref="J42:K42"/>
    <mergeCell ref="C19:D19"/>
    <mergeCell ref="G19:H19"/>
    <mergeCell ref="C42:D42"/>
    <mergeCell ref="B33:C33"/>
    <mergeCell ref="B23:D23"/>
    <mergeCell ref="B27:C27"/>
    <mergeCell ref="B29:D29"/>
    <mergeCell ref="B30:C30"/>
    <mergeCell ref="B32:C32"/>
    <mergeCell ref="B34:C34"/>
    <mergeCell ref="B37:C37"/>
    <mergeCell ref="B38:C38"/>
    <mergeCell ref="M42:N42"/>
    <mergeCell ref="I7:O8"/>
    <mergeCell ref="M9:N10"/>
    <mergeCell ref="P42:Q42"/>
    <mergeCell ref="C16:D16"/>
    <mergeCell ref="C17:D17"/>
    <mergeCell ref="P13:Q17"/>
    <mergeCell ref="M13:N17"/>
    <mergeCell ref="G18:H18"/>
    <mergeCell ref="M19:N19"/>
    <mergeCell ref="P19:Q19"/>
    <mergeCell ref="G13:H17"/>
    <mergeCell ref="J13:K17"/>
    <mergeCell ref="B20:D20"/>
    <mergeCell ref="B31:C31"/>
    <mergeCell ref="B35:C35"/>
    <mergeCell ref="B36:C36"/>
    <mergeCell ref="C18:D18"/>
    <mergeCell ref="J19:K19"/>
    <mergeCell ref="C10:D10"/>
    <mergeCell ref="B9:D9"/>
    <mergeCell ref="B14:D14"/>
    <mergeCell ref="C15:D15"/>
    <mergeCell ref="C11:D11"/>
    <mergeCell ref="C12:D12"/>
    <mergeCell ref="S12:U13"/>
    <mergeCell ref="S15:T15"/>
    <mergeCell ref="J18:K18"/>
    <mergeCell ref="P18:Q18"/>
    <mergeCell ref="S14:T14"/>
    <mergeCell ref="M18:N18"/>
  </mergeCells>
  <conditionalFormatting sqref="D31">
    <cfRule type="expression" dxfId="19" priority="15">
      <formula>$D$30="Lamina Trapezoidal"</formula>
    </cfRule>
  </conditionalFormatting>
  <conditionalFormatting sqref="D36">
    <cfRule type="expression" dxfId="17" priority="14">
      <formula>$D$35="No"</formula>
    </cfRule>
  </conditionalFormatting>
  <conditionalFormatting sqref="G19:H19">
    <cfRule type="containsText" dxfId="16" priority="19" operator="containsText" text="Horizontal">
      <formula>NOT(ISERROR(SEARCH("Horizontal",G19)))</formula>
    </cfRule>
  </conditionalFormatting>
  <conditionalFormatting sqref="G20:H42 J20:K42 M20:N42 P20:Q42 J11:K18 M11:N18 G12:H18">
    <cfRule type="expression" dxfId="15" priority="2682">
      <formula>#REF!="TPO"</formula>
    </cfRule>
  </conditionalFormatting>
  <conditionalFormatting sqref="J19:K19">
    <cfRule type="containsText" dxfId="11" priority="18" operator="containsText" text="Horizontal">
      <formula>NOT(ISERROR(SEARCH("Horizontal",J19)))</formula>
    </cfRule>
  </conditionalFormatting>
  <conditionalFormatting sqref="M19:N19">
    <cfRule type="containsText" dxfId="9" priority="17" operator="containsText" text="Horizontal">
      <formula>NOT(ISERROR(SEARCH("Horizontal",M19)))</formula>
    </cfRule>
  </conditionalFormatting>
  <conditionalFormatting sqref="P19:Q19">
    <cfRule type="containsText" dxfId="7" priority="16" operator="containsText" text="Horizontal">
      <formula>NOT(ISERROR(SEARCH("Horizontal",P19)))</formula>
    </cfRule>
  </conditionalFormatting>
  <conditionalFormatting sqref="Q21:Q40">
    <cfRule type="cellIs" dxfId="6" priority="8" operator="greaterThan">
      <formula>IF($D$26*Q21&gt;14,0)</formula>
    </cfRule>
  </conditionalFormatting>
  <dataValidations count="13">
    <dataValidation type="decimal" allowBlank="1" showInputMessage="1" showErrorMessage="1" errorTitle="ERROR!" error="Has ingresado un alto del módulo superior a lo permitido._x000a_" sqref="D25" xr:uid="{4876910D-729A-42ED-86DD-F337B669E855}">
      <formula1>0.5</formula1>
      <formula2>3</formula2>
    </dataValidation>
    <dataValidation type="decimal" allowBlank="1" showInputMessage="1" showErrorMessage="1" errorTitle="ERROR!" error="Has ingresado un ancho de módulo superior al permitido." sqref="D26" xr:uid="{B2A07B11-D099-4DAA-9E97-D29DF29BA280}">
      <formula1>0.5</formula1>
      <formula2>2</formula2>
    </dataValidation>
    <dataValidation type="decimal" allowBlank="1" showInputMessage="1" showErrorMessage="1" errorTitle="ERROR!" error="Has ingresado un número mayor de módulos al máximo permitido para este tipo de arreglo FV._x000a__x000a_12 módulos máximo para vertical_x000a__x000a_6 módulos máximo para horizontal." sqref="Q41" xr:uid="{FD304A0E-BB65-4B23-B4FA-80F13D31432B}">
      <formula1>1</formula1>
      <formula2>IF($P$19="Vertical",12,6)</formula2>
    </dataValidation>
    <dataValidation type="custom" allowBlank="1" showInputMessage="1" showErrorMessage="1" errorTitle="Estructura no compatible" error="Este tipo de estructura no es compatible con el tipo de techo seleccionado." sqref="G41" xr:uid="{B78A3F6E-1286-48B2-A5CC-31B9FD1F8D64}">
      <formula1>_xlfn.IFS(#REF!="TPO","Error",#REF!="LaminaOndulada",G41,#REF!="LaminaTrapezoidal",G41,#REF!="LaminaCorrugada",G41,#REF!="LosaPlana",G41,#REF!="LosaInclinada","Error")</formula1>
    </dataValidation>
    <dataValidation type="custom" allowBlank="1" showInputMessage="1" showErrorMessage="1" errorTitle="Estructura no compatible" error="Este tipo de estructura no es compatible con el tipo de techo seleccionado." sqref="G21:G40 J21:J40 M21:M40 P21:P40" xr:uid="{62C99852-CBC9-4ADA-9734-6BE109E534E7}">
      <formula1>IF($D$30="TPO","Error",G21)</formula1>
    </dataValidation>
    <dataValidation type="custom" allowBlank="1" showInputMessage="1" showErrorMessage="1" errorTitle="Estructura no compatible" error="Este tipo de estructura no es compatible con el tipo de techo seleccionado." sqref="P41" xr:uid="{B866031D-69CB-493E-B0BD-77DB42FF5023}">
      <formula1>_xlfn.IFS($D$30="TPO","Error",$D$30="Lamina Ondulada","Error",$D$30="Lamina Trapezoidal",P41,$D$30="Lamina Engargolada","Error",$D$30="Losa Plana","Error",$D$30="Losa Inclinada","Error")</formula1>
    </dataValidation>
    <dataValidation type="custom" allowBlank="1" showInputMessage="1" showErrorMessage="1" errorTitle="Estructura no compatible" error="Este tipo de estructura no es compatible con el tipo de techo seleccionado." sqref="J41 M41" xr:uid="{CF6D31A3-E1C4-46E7-826C-EF20F893409D}">
      <formula1>_xlfn.IFS($D$30="TPO","Error",$D$30="Losa Plana",J41,$D$30="Losa Inclinada",J41,$D$30="Lamina Trapezoidal","Error",$D$30="Lamina Engargolada",J41,$D$30="Lamina Ondulada","Error")</formula1>
    </dataValidation>
    <dataValidation type="list" allowBlank="1" showInputMessage="1" showErrorMessage="1" sqref="D35" xr:uid="{71B5B581-16E3-4E67-9DA0-F2E08847C13E}">
      <formula1>"Sí,No"</formula1>
    </dataValidation>
    <dataValidation type="decimal" operator="lessThan" allowBlank="1" showInputMessage="1" showErrorMessage="1" errorTitle="ERROR!" error="Has ingresado un número mayor de módulos al máximo permitido para este tipo de arreglo FV._x000a__x000a_20 módulos máximo para vertical con ancho 1.134m._x000a__x000a_18 módulos máximo para vertical con ancho 1.30m." sqref="K41" xr:uid="{4D0EBCE6-9354-42A1-9873-B0B94D322C66}">
      <formula1>IF($D$26*$K41&gt;23.8,(24/$D$26))</formula1>
    </dataValidation>
    <dataValidation type="decimal" operator="lessThan" allowBlank="1" showInputMessage="1" showErrorMessage="1" errorTitle="ERROR!" error="Has ingresado un número mayor de módulos al máximo permitido para este tipo de arreglo FV._x000a__x000a_20 módulos máximo para vertical con ancho 1.134m._x000a__x000a_18 módulos máximo para vertical con ancho 1.30m." sqref="K21:K40" xr:uid="{72920901-98DB-4B0B-831B-7AAC363F98DE}">
      <formula1>IF($D$26*$K21&gt;23.8,(23.8/$D$26))</formula1>
    </dataValidation>
    <dataValidation type="decimal" allowBlank="1" showInputMessage="1" showErrorMessage="1" errorTitle="ERROR!" error="Has ingresado un número mayor de módulos al máximo permitido para este tipo de arreglo FV._x000a__x000a_20 módulos máximo para vertical con ancho 1.134m._x000a__x000a_18 módulos máximo para vertical con ancho 1.30m." sqref="H21:H41" xr:uid="{8C0B8681-95CA-4BDD-AA8E-003F3D171A54}">
      <formula1>1</formula1>
      <formula2>IF($D$26*$H21&gt;23.8,(23.8/$D$26))</formula2>
    </dataValidation>
    <dataValidation type="decimal" allowBlank="1" showInputMessage="1" showErrorMessage="1" errorTitle="ERROR!" error="Has ingresado un número mayor de módulos al máximo permitido para este tipo de arreglo FV._x000a__x000a_20 módulos máximo para vertical con ancho 1.134m._x000a__x000a_18 módulos máximo para vertical con ancho 1.30m." sqref="N21:N41" xr:uid="{24D98E64-B159-49D6-BAE1-5D909B51070C}">
      <formula1>1</formula1>
      <formula2>IF($D$26*$N21&gt;23.8,(23.8/$D$26))</formula2>
    </dataValidation>
    <dataValidation type="decimal" allowBlank="1" showInputMessage="1" showErrorMessage="1" errorTitle="ERROR!" error="Has ingresado un número mayor de módulos al máximo permitido para este tipo de arreglo FV._x000a__x000a_12 módulos máximo con ancho de 1.134m._x000a__x000a_10 módulos máximo con ancho de 1.303m." sqref="Q21:Q40" xr:uid="{9D10ADC1-5D58-4DD6-B164-D101ACCB97D8}">
      <formula1>1</formula1>
      <formula2>IF($D$26*Q21&gt;14,0)</formula2>
    </dataValidation>
  </dataValidation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2" operator="greaterThan" id="{271A7AD7-CAE8-498D-9C9E-7EBD5CFFFAF2}">
            <xm:f>'Velocidades de viento'!M13</xm:f>
            <x14:dxf>
              <fill>
                <patternFill>
                  <bgColor rgb="FFFF0000"/>
                </patternFill>
              </fill>
            </x14:dxf>
          </x14:cfRule>
          <xm:sqref>D34</xm:sqref>
        </x14:conditionalFormatting>
        <x14:conditionalFormatting xmlns:xm="http://schemas.microsoft.com/office/excel/2006/main">
          <x14:cfRule type="containsText" priority="1" operator="containsText" id="{BC19D7C0-3D85-40A5-8837-E9ED8DA78A65}">
            <xm:f>NOT(ISERROR(SEARCH("El Angulo ingresado es superior al máximo permitido para ese tipo de solución.",G9)))</xm:f>
            <xm:f>"El Angulo ingresado es superior al máximo permitido para ese tipo de solución."</xm:f>
            <x14:dxf>
              <fill>
                <patternFill>
                  <bgColor rgb="FFFF0000"/>
                </patternFill>
              </fill>
            </x14:dxf>
          </x14:cfRule>
          <xm:sqref>G9:K10</xm:sqref>
        </x14:conditionalFormatting>
        <x14:conditionalFormatting xmlns:xm="http://schemas.microsoft.com/office/excel/2006/main">
          <x14:cfRule type="cellIs" priority="13" operator="greaterThan" id="{3E53AEFF-05E3-4551-9FE8-9BD062E75AB9}">
            <xm:f>IF('Calculo de Span'!K36&gt;24,0)</xm:f>
            <x14:dxf>
              <fill>
                <patternFill>
                  <bgColor rgb="FFFF0000"/>
                </patternFill>
              </fill>
            </x14:dxf>
          </x14:cfRule>
          <xm:sqref>H21:H40</xm:sqref>
        </x14:conditionalFormatting>
        <x14:conditionalFormatting xmlns:xm="http://schemas.microsoft.com/office/excel/2006/main">
          <x14:cfRule type="containsText" priority="5" operator="containsText" id="{C9B92A8C-7876-4CD8-8C41-ECC0780E8800}">
            <xm:f>NOT(ISERROR(SEARCH("PARA LOS TECHOS TIPO TPO BUSQUE ASESORIA DIRECTA DEL DEPARTAMENTO DE INGENIERIA",I7)))</xm:f>
            <xm:f>"PARA LOS TECHOS TIPO TPO BUSQUE ASESORIA DIRECTA DEL DEPARTAMENTO DE INGENIERIA"</xm:f>
            <x14:dxf>
              <fill>
                <patternFill>
                  <bgColor rgb="FFFF0000"/>
                </patternFill>
              </fill>
            </x14:dxf>
          </x14:cfRule>
          <xm:sqref>I7:O8</xm:sqref>
        </x14:conditionalFormatting>
        <x14:conditionalFormatting xmlns:xm="http://schemas.microsoft.com/office/excel/2006/main">
          <x14:cfRule type="cellIs" priority="11" operator="greaterThan" id="{661288DA-1BB8-4BBE-A274-157F170E0074}">
            <xm:f>IF('Calculo de Span'!K8&gt;24,0)</xm:f>
            <x14:dxf>
              <fill>
                <patternFill>
                  <bgColor rgb="FFFF0000"/>
                </patternFill>
              </fill>
            </x14:dxf>
          </x14:cfRule>
          <xm:sqref>K21:K40</xm:sqref>
        </x14:conditionalFormatting>
        <x14:conditionalFormatting xmlns:xm="http://schemas.microsoft.com/office/excel/2006/main">
          <x14:cfRule type="cellIs" priority="9" operator="greaterThan" id="{EA9AD14A-A9E7-494F-9EFE-D05237238EFD}">
            <xm:f>IF('Calculo de Span'!W8&gt;24,0)</xm:f>
            <x14:dxf>
              <fill>
                <patternFill>
                  <bgColor rgb="FFFF0000"/>
                </patternFill>
              </fill>
            </x14:dxf>
          </x14:cfRule>
          <xm:sqref>N21:N40</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8EA3D9C-E110-436F-98E5-C771CE40C4A3}">
          <x14:formula1>
            <xm:f>'Velocidades de viento'!$A$5:$A$81</xm:f>
          </x14:formula1>
          <xm:sqref>D24</xm:sqref>
        </x14:dataValidation>
        <x14:dataValidation type="list" allowBlank="1" showInputMessage="1" showErrorMessage="1" errorTitle="ERROR!" error="La pata delantera debe ser 0.30 m, 0.40 m ó 0.50 m" xr:uid="{1FA17865-4C6D-4ABA-B659-787B7615F9B7}">
          <x14:formula1>
            <xm:f>'Velocidades de viento'!$M$16:$M$19</xm:f>
          </x14:formula1>
          <xm:sqref>D33</xm:sqref>
        </x14:dataValidation>
        <x14:dataValidation type="list" allowBlank="1" showInputMessage="1" showErrorMessage="1" xr:uid="{DA6686C8-CB7D-4F04-990F-06F1F818F953}">
          <x14:formula1>
            <xm:f>'Velocidades de viento'!$N$5:$N$8</xm:f>
          </x14:formula1>
          <xm:sqref>C19:D19</xm:sqref>
        </x14:dataValidation>
        <x14:dataValidation type="list" allowBlank="1" showInputMessage="1" showErrorMessage="1" xr:uid="{7EF04987-98CA-4D23-8027-A6C57FC47240}">
          <x14:formula1>
            <xm:f>'Velocidades de viento'!$T$5:$T$10</xm:f>
          </x14:formula1>
          <xm:sqref>D30</xm:sqref>
        </x14:dataValidation>
        <x14:dataValidation type="list" allowBlank="1" showInputMessage="1" showErrorMessage="1" xr:uid="{EA3CC883-C67F-4380-9CA7-59F13E8404FB}">
          <x14:formula1>
            <xm:f>'Velocidades de viento'!$T$5:$T$9</xm:f>
          </x14:formula1>
          <xm:sqref>D30</xm:sqref>
        </x14:dataValidation>
        <x14:dataValidation type="list" allowBlank="1" showInputMessage="1" showErrorMessage="1" xr:uid="{36F72E7D-03E6-4AF3-A6B3-9A3B94588262}">
          <x14:formula1>
            <xm:f>'Velocidades de viento'!$V$5:$V$15</xm:f>
          </x14:formula1>
          <xm:sqref>D27</xm:sqref>
        </x14:dataValidation>
        <x14:dataValidation type="list" allowBlank="1" showInputMessage="1" showErrorMessage="1" xr:uid="{13F25437-11C0-44CF-AC9A-C2CD6063F6B4}">
          <x14:formula1>
            <xm:f>'Velocidades de viento'!$R$5:$R$10</xm:f>
          </x14:formula1>
          <xm:sqref>D32</xm:sqref>
        </x14:dataValidation>
        <x14:dataValidation type="list" allowBlank="1" showInputMessage="1" showErrorMessage="1" xr:uid="{F92243AE-C8D8-4120-B504-932CDD6CECC0}">
          <x14:formula1>
            <xm:f>'Velocidades de viento'!$C$2:$C$225</xm:f>
          </x14:formula1>
          <xm:sqref>C15:D15</xm:sqref>
        </x14:dataValidation>
        <x14:dataValidation type="list" allowBlank="1" showInputMessage="1" showErrorMessage="1" xr:uid="{1C8874C0-B14F-4EC6-B16C-9583C2CDED6C}">
          <x14:formula1>
            <xm:f>'Velocidades de viento'!$R$15:$R$18</xm:f>
          </x14:formula1>
          <xm:sqref>B21:D21</xm:sqref>
        </x14:dataValidation>
        <x14:dataValidation type="list" allowBlank="1" showInputMessage="1" showErrorMessage="1" xr:uid="{FDB60C90-71AB-4764-AA2A-355DE617124C}">
          <x14:formula1>
            <xm:f>'Velocidades de viento'!$R$22:$R$23</xm:f>
          </x14:formula1>
          <xm:sqref>D31</xm:sqref>
        </x14:dataValidation>
        <x14:dataValidation type="decimal" allowBlank="1" showInputMessage="1" showErrorMessage="1" errorTitle="ERROR!" error="El Angulo ingresado es superior al máximo permitido por la plantilla para ese tipo de solución._x000a_" xr:uid="{AC13EC30-DA8A-4D57-A76B-A58A718DC26B}">
          <x14:formula1>
            <xm:f>0</xm:f>
          </x14:formula1>
          <x14:formula2>
            <xm:f>'Velocidades de viento'!M13</xm:f>
          </x14:formula2>
          <xm:sqref>D34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C0A2-1A81-4D4B-ACC8-146A7DCDA022}">
  <sheetPr codeName="Hoja2"/>
  <dimension ref="A1:AK50"/>
  <sheetViews>
    <sheetView showZeros="0" topLeftCell="A10" zoomScaleNormal="100" zoomScalePageLayoutView="49" workbookViewId="0">
      <selection activeCell="B16" sqref="B16:E16"/>
    </sheetView>
  </sheetViews>
  <sheetFormatPr defaultColWidth="10.81640625" defaultRowHeight="14.5"/>
  <cols>
    <col min="1" max="1" width="10.81640625" style="1" customWidth="1"/>
    <col min="2" max="2" width="13.1796875" style="1" customWidth="1"/>
    <col min="3" max="3" width="25.453125" style="1" customWidth="1"/>
    <col min="4" max="4" width="20.1796875" style="1" customWidth="1"/>
    <col min="5" max="5" width="10.81640625" style="1"/>
    <col min="6" max="6" width="4" style="1" customWidth="1"/>
    <col min="7" max="7" width="4.81640625" style="1" customWidth="1"/>
    <col min="8" max="8" width="11" style="1" customWidth="1"/>
    <col min="9" max="9" width="2.08984375" style="1" customWidth="1"/>
    <col min="10" max="14" width="3.81640625" style="1" customWidth="1"/>
    <col min="15" max="15" width="5.81640625" style="1" customWidth="1"/>
    <col min="16" max="16" width="7.453125" style="1" customWidth="1"/>
    <col min="17" max="18" width="7.26953125" style="1" customWidth="1"/>
    <col min="19" max="19" width="7.08984375" style="1" customWidth="1"/>
    <col min="20" max="20" width="7.1796875" style="1" customWidth="1"/>
    <col min="21" max="21" width="7.08984375" style="1" customWidth="1"/>
    <col min="22" max="22" width="7.36328125" style="1" customWidth="1"/>
    <col min="23" max="23" width="7.08984375" style="1" customWidth="1"/>
    <col min="24" max="24" width="7.26953125" style="1" customWidth="1"/>
    <col min="25" max="25" width="7" style="1" customWidth="1"/>
    <col min="26" max="26" width="2.81640625" style="1" customWidth="1"/>
    <col min="27" max="27" width="4" style="1" customWidth="1"/>
    <col min="28" max="37" width="6.81640625" style="1" customWidth="1"/>
    <col min="38" max="38" width="10.81640625" style="1"/>
    <col min="39" max="39" width="12.1796875" style="1" customWidth="1"/>
    <col min="40" max="16384" width="10.81640625" style="1"/>
  </cols>
  <sheetData>
    <row r="1" spans="1:37" ht="13.5" customHeight="1">
      <c r="A1" s="3" t="s">
        <v>34</v>
      </c>
      <c r="B1" s="3"/>
      <c r="C1" s="321">
        <f>nm</f>
        <v>0</v>
      </c>
      <c r="D1" s="10"/>
      <c r="H1" s="78"/>
      <c r="I1" s="78"/>
    </row>
    <row r="2" spans="1:37" ht="13.5" customHeight="1">
      <c r="A2" s="3" t="s">
        <v>35</v>
      </c>
      <c r="B2" s="3"/>
      <c r="C2" s="53">
        <f>cnt</f>
        <v>0</v>
      </c>
      <c r="H2" s="76"/>
      <c r="I2" s="76"/>
    </row>
    <row r="3" spans="1:37" ht="13.5" customHeight="1">
      <c r="A3" s="3" t="s">
        <v>67</v>
      </c>
      <c r="B3" s="3"/>
      <c r="C3" s="53">
        <f>mail</f>
        <v>0</v>
      </c>
      <c r="H3" s="76"/>
      <c r="I3" s="76"/>
      <c r="J3" s="487" t="s">
        <v>68</v>
      </c>
      <c r="K3" s="487"/>
      <c r="L3" s="487"/>
      <c r="M3" s="487"/>
      <c r="N3" s="487"/>
      <c r="O3" s="487"/>
      <c r="P3" s="487"/>
      <c r="Q3" s="487"/>
      <c r="R3" s="487"/>
      <c r="S3" s="487"/>
      <c r="T3" s="487"/>
      <c r="U3" s="487"/>
      <c r="V3" s="487"/>
      <c r="W3" s="487"/>
      <c r="X3" s="487"/>
      <c r="Y3" s="487"/>
      <c r="Z3" s="7"/>
      <c r="AA3" s="7"/>
      <c r="AB3" s="7"/>
      <c r="AC3" s="7"/>
      <c r="AD3" s="7"/>
      <c r="AE3" s="7"/>
      <c r="AF3" s="7"/>
      <c r="AG3" s="7"/>
      <c r="AH3" s="7"/>
      <c r="AI3" s="7"/>
      <c r="AJ3" s="7"/>
      <c r="AK3" s="7"/>
    </row>
    <row r="4" spans="1:37" ht="13.5" customHeight="1">
      <c r="A4" s="2" t="s">
        <v>69</v>
      </c>
      <c r="B4" s="73"/>
      <c r="C4" s="3" t="str">
        <f>'Datos de Proyecto'!C15</f>
        <v xml:space="preserve">Colima / Colima </v>
      </c>
      <c r="H4" s="75"/>
      <c r="I4" s="75"/>
      <c r="J4" s="488"/>
      <c r="K4" s="488"/>
      <c r="L4" s="488"/>
      <c r="M4" s="488"/>
      <c r="N4" s="488"/>
      <c r="O4" s="488"/>
      <c r="P4" s="488"/>
      <c r="Q4" s="488"/>
      <c r="R4" s="488"/>
      <c r="S4" s="488"/>
      <c r="T4" s="488"/>
      <c r="U4" s="488"/>
      <c r="V4" s="488"/>
      <c r="W4" s="488"/>
      <c r="X4" s="488"/>
      <c r="Y4" s="488"/>
      <c r="Z4" s="7"/>
      <c r="AA4" s="7"/>
      <c r="AB4" s="7"/>
      <c r="AC4" s="7"/>
      <c r="AD4" s="7"/>
      <c r="AE4" s="7"/>
      <c r="AF4" s="7"/>
      <c r="AG4" s="7"/>
      <c r="AH4" s="7"/>
      <c r="AI4" s="7"/>
      <c r="AJ4" s="7"/>
      <c r="AK4" s="7"/>
    </row>
    <row r="5" spans="1:37" ht="13.5" customHeight="1">
      <c r="A5" s="3" t="s">
        <v>70</v>
      </c>
      <c r="B5" s="53"/>
      <c r="C5" s="104">
        <f>'Datos de Proyecto'!C16</f>
        <v>120</v>
      </c>
      <c r="E5" s="502">
        <f>IF(MAX('Calculo de Span'!K36:K55)&gt;24,"ERROR:La longitud del riel EO no puede ser mayor a 24m",0)</f>
        <v>0</v>
      </c>
      <c r="F5" s="502"/>
      <c r="G5" s="502"/>
      <c r="H5" s="502"/>
      <c r="I5" s="74"/>
      <c r="J5" s="490" t="s">
        <v>71</v>
      </c>
      <c r="K5" s="491"/>
      <c r="L5" s="491"/>
      <c r="M5" s="491"/>
      <c r="N5" s="491"/>
      <c r="O5" s="491"/>
      <c r="P5" s="492"/>
      <c r="Q5" s="492"/>
      <c r="R5" s="492"/>
      <c r="S5" s="492"/>
      <c r="T5" s="492"/>
      <c r="U5" s="492"/>
      <c r="V5" s="492"/>
      <c r="W5" s="492"/>
      <c r="X5" s="492"/>
      <c r="Y5" s="493"/>
      <c r="Z5" s="7"/>
      <c r="AA5" s="7"/>
      <c r="AB5" s="7"/>
      <c r="AC5" s="7"/>
      <c r="AD5" s="7"/>
      <c r="AE5" s="7"/>
      <c r="AF5" s="7"/>
      <c r="AG5" s="7"/>
      <c r="AH5" s="7"/>
      <c r="AI5" s="7"/>
      <c r="AJ5" s="7"/>
      <c r="AK5" s="7"/>
    </row>
    <row r="6" spans="1:37" ht="13.5" customHeight="1">
      <c r="A6" s="2" t="s">
        <v>72</v>
      </c>
      <c r="B6" s="53"/>
      <c r="C6" s="105">
        <f>'Datos de Proyecto'!D24</f>
        <v>615</v>
      </c>
      <c r="E6" s="502"/>
      <c r="F6" s="502"/>
      <c r="G6" s="502"/>
      <c r="H6" s="502"/>
      <c r="I6" s="75"/>
      <c r="J6" s="498" t="s">
        <v>73</v>
      </c>
      <c r="K6" s="498"/>
      <c r="L6" s="498"/>
      <c r="M6" s="498"/>
      <c r="N6" s="498"/>
      <c r="O6" s="498"/>
      <c r="P6" s="254">
        <v>1</v>
      </c>
      <c r="Q6" s="254">
        <v>2</v>
      </c>
      <c r="R6" s="254">
        <v>3</v>
      </c>
      <c r="S6" s="254">
        <v>4</v>
      </c>
      <c r="T6" s="254">
        <v>5</v>
      </c>
      <c r="U6" s="254">
        <v>6</v>
      </c>
      <c r="V6" s="254">
        <v>7</v>
      </c>
      <c r="W6" s="254">
        <v>8</v>
      </c>
      <c r="X6" s="254">
        <v>9</v>
      </c>
      <c r="Y6" s="254">
        <v>10</v>
      </c>
      <c r="Z6" s="7"/>
      <c r="AA6" s="7"/>
      <c r="AB6" s="7"/>
      <c r="AC6" s="7"/>
      <c r="AD6" s="7"/>
      <c r="AE6" s="7"/>
      <c r="AF6" s="7"/>
      <c r="AG6" s="7"/>
      <c r="AH6" s="7"/>
      <c r="AI6" s="7"/>
      <c r="AJ6" s="7"/>
      <c r="AK6" s="7"/>
    </row>
    <row r="7" spans="1:37" ht="13.5" customHeight="1">
      <c r="A7" s="2" t="s">
        <v>74</v>
      </c>
      <c r="B7" s="53"/>
      <c r="C7" s="3">
        <f>SUM('Datos de Proyecto'!G21:G40)</f>
        <v>3</v>
      </c>
      <c r="E7" s="502"/>
      <c r="F7" s="502"/>
      <c r="G7" s="502"/>
      <c r="H7" s="502"/>
      <c r="I7" s="74"/>
      <c r="J7" s="494" t="s">
        <v>53</v>
      </c>
      <c r="K7" s="494"/>
      <c r="L7" s="494"/>
      <c r="M7" s="494"/>
      <c r="N7" s="494"/>
      <c r="O7" s="494"/>
      <c r="P7" s="273">
        <f>'Datos de Proyecto'!H21</f>
        <v>10</v>
      </c>
      <c r="Q7" s="273">
        <f>'Datos de Proyecto'!H22</f>
        <v>10</v>
      </c>
      <c r="R7" s="273">
        <f>'Datos de Proyecto'!H23</f>
        <v>0</v>
      </c>
      <c r="S7" s="273">
        <f>'Datos de Proyecto'!H24</f>
        <v>0</v>
      </c>
      <c r="T7" s="273">
        <f>'Datos de Proyecto'!H25</f>
        <v>0</v>
      </c>
      <c r="U7" s="273">
        <f>'Datos de Proyecto'!H26</f>
        <v>0</v>
      </c>
      <c r="V7" s="273">
        <f>'Datos de Proyecto'!H27</f>
        <v>0</v>
      </c>
      <c r="W7" s="273">
        <f>'Datos de Proyecto'!H28</f>
        <v>0</v>
      </c>
      <c r="X7" s="273">
        <f>'Datos de Proyecto'!H29</f>
        <v>0</v>
      </c>
      <c r="Y7" s="273">
        <f>'Datos de Proyecto'!H30</f>
        <v>0</v>
      </c>
      <c r="Z7" s="7"/>
      <c r="AA7" s="7"/>
      <c r="AB7" s="7"/>
      <c r="AC7" s="7"/>
      <c r="AD7" s="7"/>
      <c r="AE7" s="7"/>
      <c r="AF7" s="7"/>
      <c r="AG7" s="7"/>
      <c r="AH7" s="7"/>
      <c r="AI7" s="7"/>
      <c r="AJ7" s="7"/>
      <c r="AK7" s="7"/>
    </row>
    <row r="8" spans="1:37" ht="13.5" customHeight="1">
      <c r="A8" s="2" t="s">
        <v>75</v>
      </c>
      <c r="B8" s="73"/>
      <c r="C8" s="3" cm="1">
        <f t="array" ref="C8:D8">+'Datos de Proyecto'!G42:H42</f>
        <v>30</v>
      </c>
      <c r="D8" s="13">
        <v>0</v>
      </c>
      <c r="E8" s="502"/>
      <c r="F8" s="502"/>
      <c r="G8" s="502"/>
      <c r="H8" s="502"/>
      <c r="I8" s="75"/>
      <c r="J8" s="480" t="s">
        <v>76</v>
      </c>
      <c r="K8" s="480"/>
      <c r="L8" s="480"/>
      <c r="M8" s="480"/>
      <c r="N8" s="480"/>
      <c r="O8" s="480"/>
      <c r="P8" s="255">
        <f>'Datos de Proyecto'!$G21</f>
        <v>1</v>
      </c>
      <c r="Q8" s="255">
        <f>'Datos de Proyecto'!$G22</f>
        <v>2</v>
      </c>
      <c r="R8" s="255">
        <f>'Datos de Proyecto'!$G23</f>
        <v>0</v>
      </c>
      <c r="S8" s="255">
        <f>'Datos de Proyecto'!$G24</f>
        <v>0</v>
      </c>
      <c r="T8" s="255">
        <f>'Datos de Proyecto'!$G25</f>
        <v>0</v>
      </c>
      <c r="U8" s="255">
        <f>'Datos de Proyecto'!$G26</f>
        <v>0</v>
      </c>
      <c r="V8" s="255">
        <f>'Datos de Proyecto'!$G27</f>
        <v>0</v>
      </c>
      <c r="W8" s="255">
        <f>'Datos de Proyecto'!$G28</f>
        <v>0</v>
      </c>
      <c r="X8" s="255">
        <f>'Datos de Proyecto'!$G29</f>
        <v>0</v>
      </c>
      <c r="Y8" s="255">
        <f>'Datos de Proyecto'!$G30</f>
        <v>0</v>
      </c>
      <c r="Z8" s="7"/>
      <c r="AA8" s="7"/>
      <c r="AB8" s="7"/>
      <c r="AC8" s="7"/>
      <c r="AD8" s="7"/>
      <c r="AE8" s="7"/>
      <c r="AF8" s="7"/>
      <c r="AG8" s="7"/>
      <c r="AH8" s="7"/>
      <c r="AI8" s="7"/>
      <c r="AJ8" s="7"/>
      <c r="AK8" s="7"/>
    </row>
    <row r="9" spans="1:37" ht="13.5" customHeight="1">
      <c r="A9" s="2" t="s">
        <v>77</v>
      </c>
      <c r="B9" s="73"/>
      <c r="C9" s="106">
        <f>ROUNDUP(C8*'Datos de Proyecto'!D25*'Datos de Proyecto'!D26*1.2,0)</f>
        <v>98</v>
      </c>
      <c r="H9" s="75"/>
      <c r="I9" s="75"/>
      <c r="J9" s="480" t="s">
        <v>583</v>
      </c>
      <c r="K9" s="480"/>
      <c r="L9" s="480"/>
      <c r="M9" s="480"/>
      <c r="N9" s="480"/>
      <c r="O9" s="480"/>
      <c r="P9" s="255">
        <f t="shared" ref="P9:Y9" si="0">IF(P12="",P19/2,P12/2)</f>
        <v>7</v>
      </c>
      <c r="Q9" s="255">
        <f t="shared" si="0"/>
        <v>14</v>
      </c>
      <c r="R9" s="255">
        <f t="shared" si="0"/>
        <v>0</v>
      </c>
      <c r="S9" s="255">
        <f t="shared" si="0"/>
        <v>0</v>
      </c>
      <c r="T9" s="255">
        <f t="shared" si="0"/>
        <v>0</v>
      </c>
      <c r="U9" s="255">
        <f t="shared" si="0"/>
        <v>0</v>
      </c>
      <c r="V9" s="255">
        <f t="shared" si="0"/>
        <v>0</v>
      </c>
      <c r="W9" s="255">
        <f t="shared" si="0"/>
        <v>0</v>
      </c>
      <c r="X9" s="255">
        <f t="shared" si="0"/>
        <v>0</v>
      </c>
      <c r="Y9" s="255">
        <f t="shared" si="0"/>
        <v>0</v>
      </c>
      <c r="Z9" s="7"/>
      <c r="AA9" s="7"/>
      <c r="AB9" s="7"/>
      <c r="AC9" s="7"/>
      <c r="AD9" s="7"/>
      <c r="AE9" s="7"/>
      <c r="AF9" s="7"/>
      <c r="AG9" s="7"/>
      <c r="AH9" s="7"/>
      <c r="AI9" s="7"/>
      <c r="AJ9" s="7"/>
      <c r="AK9" s="7"/>
    </row>
    <row r="10" spans="1:37" ht="13.5" customHeight="1">
      <c r="I10" s="75"/>
      <c r="J10" s="480" t="s">
        <v>582</v>
      </c>
      <c r="K10" s="480"/>
      <c r="L10" s="480"/>
      <c r="M10" s="480"/>
      <c r="N10" s="480"/>
      <c r="O10" s="480"/>
      <c r="P10" s="294">
        <f>IF('Calculo de Span'!L36="Error","ERROR",'Calculo de Span'!$K$36)</f>
        <v>11.579699999999999</v>
      </c>
      <c r="Q10" s="294">
        <f>IF('Calculo de Span'!L37="Error","ERROR",'Calculo de Span'!$K$37)</f>
        <v>11.579699999999999</v>
      </c>
      <c r="R10" s="294">
        <f>IF('Calculo de Span'!L38="Error","ERROR",'Calculo de Span'!$K$38)</f>
        <v>0</v>
      </c>
      <c r="S10" s="294">
        <f>IF('Calculo de Span'!L39="Error","ERROR",'Calculo de Span'!$K$39)</f>
        <v>0</v>
      </c>
      <c r="T10" s="294">
        <f>IF('Calculo de Span'!L40="Error","ERROR",'Calculo de Span'!$K$40)</f>
        <v>0</v>
      </c>
      <c r="U10" s="294">
        <f>IF('Calculo de Span'!L41="Error","ERROR",'Calculo de Span'!$K$41)</f>
        <v>0</v>
      </c>
      <c r="V10" s="294">
        <f>IF('Calculo de Span'!L42="Error","ERROR",'Calculo de Span'!$K$42)</f>
        <v>0</v>
      </c>
      <c r="W10" s="294">
        <f>IF('Calculo de Span'!L43="Error","ERROR",'Calculo de Span'!$K$43)</f>
        <v>0</v>
      </c>
      <c r="X10" s="294">
        <f>IF('Calculo de Span'!L44="Error","ERROR",'Calculo de Span'!$K$44)</f>
        <v>0</v>
      </c>
      <c r="Y10" s="294">
        <f>IF('Calculo de Span'!L45="Error","ERROR",'Calculo de Span'!$K$45)</f>
        <v>0</v>
      </c>
      <c r="Z10" s="7"/>
      <c r="AA10" s="7"/>
      <c r="AB10" s="7"/>
      <c r="AC10" s="7"/>
      <c r="AD10" s="7"/>
      <c r="AE10" s="7"/>
      <c r="AF10" s="7"/>
      <c r="AG10" s="7"/>
      <c r="AH10" s="7"/>
      <c r="AI10" s="7"/>
      <c r="AJ10" s="7"/>
      <c r="AK10" s="7"/>
    </row>
    <row r="11" spans="1:37" ht="13.5" customHeight="1" thickBot="1">
      <c r="A11" s="469" t="s">
        <v>78</v>
      </c>
      <c r="B11" s="469"/>
      <c r="C11" s="469"/>
      <c r="D11" s="469"/>
      <c r="E11" s="469"/>
      <c r="F11" s="469"/>
      <c r="G11" s="469"/>
      <c r="H11" s="469"/>
      <c r="I11" s="79"/>
      <c r="J11" s="484" t="s">
        <v>79</v>
      </c>
      <c r="K11" s="485"/>
      <c r="L11" s="485"/>
      <c r="M11" s="485"/>
      <c r="N11" s="485"/>
      <c r="O11" s="486"/>
      <c r="P11" s="274">
        <f>IF('Datos de Proyecto'!$H$21&lt;&gt;0,VLOOKUP('Datos de Proyecto'!$H$21,'Calculo de Span'!$A$36:$J$55,9,FALSE),0)</f>
        <v>1.82995</v>
      </c>
      <c r="Q11" s="274">
        <f>IF('Datos de Proyecto'!$H$22&lt;&gt;0,VLOOKUP('Datos de Proyecto'!$H$22,'Calculo de Span'!$A$36:$J$55,9,FALSE),0)</f>
        <v>1.82995</v>
      </c>
      <c r="R11" s="274">
        <f>IF('Datos de Proyecto'!$H$23&lt;&gt;0,VLOOKUP('Datos de Proyecto'!$H$23,'Calculo de Span'!$A$36:$J$55,9,FALSE),0)</f>
        <v>0</v>
      </c>
      <c r="S11" s="274">
        <f>IF('Datos de Proyecto'!$H$24&lt;&gt;0,VLOOKUP('Datos de Proyecto'!$H$24,'Calculo de Span'!$A$36:$J$55,9,FALSE),0)</f>
        <v>0</v>
      </c>
      <c r="T11" s="274">
        <f>IF('Datos de Proyecto'!$H$25&lt;&gt;0,VLOOKUP('Datos de Proyecto'!$H$25,'Calculo de Span'!$A$36:$J$55,9,FALSE),0)</f>
        <v>0</v>
      </c>
      <c r="U11" s="274">
        <f>IF('Datos de Proyecto'!$H$26&lt;&gt;0,VLOOKUP('Datos de Proyecto'!$H$26,'Calculo de Span'!$A$36:$J$55,9,FALSE),0)</f>
        <v>0</v>
      </c>
      <c r="V11" s="274">
        <f>IF('Datos de Proyecto'!$H$27&lt;&gt;0,VLOOKUP('Datos de Proyecto'!$H$27,'Calculo de Span'!$A$36:$J$55,9,FALSE),0)</f>
        <v>0</v>
      </c>
      <c r="W11" s="274">
        <f>IF('Datos de Proyecto'!$H$28&lt;&gt;0,VLOOKUP('Datos de Proyecto'!$H$28,'Calculo de Span'!$A$36:$J$55,9,FALSE),0)</f>
        <v>0</v>
      </c>
      <c r="X11" s="274">
        <f>IF('Datos de Proyecto'!$H$29&lt;&gt;0,VLOOKUP('Datos de Proyecto'!$H$29,'Calculo de Span'!$A$36:$J$55,9,FALSE),0)</f>
        <v>0</v>
      </c>
      <c r="Y11" s="275">
        <f>IF('Datos de Proyecto'!$H$30&lt;&gt;0,VLOOKUP('Datos de Proyecto'!$H$30,'Calculo de Span'!$A$36:$J$55,9,FALSE),0)</f>
        <v>0</v>
      </c>
      <c r="Z11" s="7"/>
      <c r="AA11" s="7"/>
      <c r="AB11" s="7"/>
      <c r="AC11" s="7"/>
      <c r="AD11" s="7"/>
      <c r="AE11" s="7"/>
      <c r="AF11" s="7"/>
      <c r="AG11" s="7"/>
      <c r="AH11" s="7"/>
      <c r="AI11" s="7"/>
      <c r="AJ11" s="7"/>
      <c r="AK11" s="7"/>
    </row>
    <row r="12" spans="1:37" ht="13.5" customHeight="1" thickTop="1">
      <c r="A12" s="469"/>
      <c r="B12" s="469"/>
      <c r="C12" s="469"/>
      <c r="D12" s="469"/>
      <c r="E12" s="469"/>
      <c r="F12" s="469"/>
      <c r="G12" s="469"/>
      <c r="H12" s="469"/>
      <c r="I12" s="80"/>
      <c r="J12" s="477" t="s">
        <v>80</v>
      </c>
      <c r="K12" s="478"/>
      <c r="L12" s="478"/>
      <c r="M12" s="478"/>
      <c r="N12" s="478"/>
      <c r="O12" s="479"/>
      <c r="P12" s="291">
        <f>IFERROR('Cuenta total'!$F$4,0)</f>
        <v>14</v>
      </c>
      <c r="Q12" s="291">
        <f>IFERROR('Cuenta total'!$F$5,0)</f>
        <v>28</v>
      </c>
      <c r="R12" s="291">
        <f>IFERROR('Cuenta total'!$F$6,0)</f>
        <v>0</v>
      </c>
      <c r="S12" s="291">
        <f>IFERROR('Cuenta total'!$F$7,0)</f>
        <v>0</v>
      </c>
      <c r="T12" s="291">
        <f>IFERROR('Cuenta total'!$F$8,0)</f>
        <v>0</v>
      </c>
      <c r="U12" s="291">
        <f>IFERROR('Cuenta total'!$F$9,0)</f>
        <v>0</v>
      </c>
      <c r="V12" s="291">
        <f>IFERROR('Cuenta total'!$F$10,0)</f>
        <v>0</v>
      </c>
      <c r="W12" s="291">
        <f>IFERROR('Cuenta total'!$F$11,0)</f>
        <v>0</v>
      </c>
      <c r="X12" s="291">
        <f>IFERROR('Cuenta total'!$F$12,0)</f>
        <v>0</v>
      </c>
      <c r="Y12" s="291">
        <f>IFERROR('Cuenta total'!$F$13,0)</f>
        <v>0</v>
      </c>
      <c r="Z12" s="7"/>
      <c r="AA12" s="7"/>
      <c r="AB12" s="7"/>
      <c r="AC12" s="12"/>
      <c r="AD12" s="467"/>
      <c r="AE12" s="467"/>
      <c r="AF12" s="467"/>
      <c r="AG12" s="467"/>
      <c r="AH12" s="467"/>
      <c r="AI12" s="7"/>
      <c r="AJ12" s="7"/>
      <c r="AK12" s="7"/>
    </row>
    <row r="13" spans="1:37" ht="13.5" customHeight="1">
      <c r="A13" s="103" t="s">
        <v>81</v>
      </c>
      <c r="B13" s="489" t="s">
        <v>82</v>
      </c>
      <c r="C13" s="489"/>
      <c r="D13" s="489"/>
      <c r="E13" s="489" t="s">
        <v>83</v>
      </c>
      <c r="F13" s="489" t="s">
        <v>83</v>
      </c>
      <c r="G13" s="489"/>
      <c r="H13" s="489"/>
      <c r="J13" s="481" t="s">
        <v>84</v>
      </c>
      <c r="K13" s="482"/>
      <c r="L13" s="482"/>
      <c r="M13" s="482"/>
      <c r="N13" s="482"/>
      <c r="O13" s="483"/>
      <c r="P13" s="292">
        <f>IFERROR('Cuenta total'!$G$4,0)</f>
        <v>4</v>
      </c>
      <c r="Q13" s="293">
        <f>IFERROR('Cuenta total'!$G$5,0)</f>
        <v>8</v>
      </c>
      <c r="R13" s="293">
        <f>IFERROR('Cuenta total'!$G$6,0)</f>
        <v>0</v>
      </c>
      <c r="S13" s="293">
        <f>IFERROR('Cuenta total'!$G$7,0)</f>
        <v>0</v>
      </c>
      <c r="T13" s="293">
        <f>IFERROR('Cuenta total'!$G$8,0)</f>
        <v>0</v>
      </c>
      <c r="U13" s="293">
        <f>IFERROR('Cuenta total'!$G$9,0)</f>
        <v>0</v>
      </c>
      <c r="V13" s="293">
        <f>IFERROR('Cuenta total'!$G$10,0)</f>
        <v>0</v>
      </c>
      <c r="W13" s="293">
        <f>IFERROR('Cuenta total'!$G$11,0)</f>
        <v>0</v>
      </c>
      <c r="X13" s="293">
        <f>IFERROR('Cuenta total'!$G$12,0)</f>
        <v>0</v>
      </c>
      <c r="Y13" s="293">
        <f>IFERROR('Cuenta total'!$G$13,0)</f>
        <v>0</v>
      </c>
      <c r="Z13" s="7"/>
      <c r="AA13" s="7"/>
      <c r="AB13" s="7"/>
      <c r="AC13" s="7"/>
      <c r="AD13" s="7"/>
      <c r="AE13" s="7"/>
      <c r="AF13" s="7"/>
      <c r="AG13" s="7"/>
      <c r="AH13" s="7"/>
      <c r="AI13" s="7"/>
      <c r="AJ13" s="7"/>
      <c r="AK13" s="7"/>
    </row>
    <row r="14" spans="1:37" ht="13.4" customHeight="1">
      <c r="A14" s="12" t="s">
        <v>85</v>
      </c>
      <c r="B14" s="467" t="s">
        <v>80</v>
      </c>
      <c r="C14" s="467"/>
      <c r="D14" s="467"/>
      <c r="E14" s="467"/>
      <c r="F14" s="467">
        <f>IF('Datos de Proyecto'!D32="S-5! PROTEA II","0",SUM('Cuenta total'!$F$4:$F$23))</f>
        <v>42</v>
      </c>
      <c r="G14" s="467"/>
      <c r="H14" s="467"/>
      <c r="J14" s="471" t="s">
        <v>86</v>
      </c>
      <c r="K14" s="472"/>
      <c r="L14" s="472"/>
      <c r="M14" s="472"/>
      <c r="N14" s="472"/>
      <c r="O14" s="473"/>
      <c r="P14" s="293">
        <f>IFERROR('Cuenta total'!$D$4,0)</f>
        <v>4</v>
      </c>
      <c r="Q14" s="293">
        <f>IFERROR('Cuenta total'!$D$5,0)</f>
        <v>8</v>
      </c>
      <c r="R14" s="293">
        <f>IFERROR('Cuenta total'!$D$6,0)</f>
        <v>0</v>
      </c>
      <c r="S14" s="293">
        <f>IFERROR('Cuenta total'!$D$7,0)</f>
        <v>0</v>
      </c>
      <c r="T14" s="293">
        <f>IFERROR('Cuenta total'!$D$8,0)</f>
        <v>0</v>
      </c>
      <c r="U14" s="293">
        <f>IFERROR('Cuenta total'!$D$9,0)</f>
        <v>0</v>
      </c>
      <c r="V14" s="293">
        <f>IFERROR('Cuenta total'!$D$10,0)</f>
        <v>0</v>
      </c>
      <c r="W14" s="293">
        <f>IFERROR('Cuenta total'!$D$11,0)</f>
        <v>0</v>
      </c>
      <c r="X14" s="293">
        <f>IFERROR('Cuenta total'!$D$12,0)</f>
        <v>0</v>
      </c>
      <c r="Y14" s="293">
        <f>IFERROR('Cuenta total'!$D$13,0)</f>
        <v>0</v>
      </c>
      <c r="Z14" s="7"/>
      <c r="AA14" s="7"/>
      <c r="AB14" s="7"/>
      <c r="AC14" s="7"/>
      <c r="AD14" s="7"/>
      <c r="AE14" s="7"/>
      <c r="AF14" s="7"/>
      <c r="AG14" s="7"/>
      <c r="AH14" s="7"/>
      <c r="AI14" s="7"/>
      <c r="AJ14" s="7"/>
      <c r="AK14" s="7"/>
    </row>
    <row r="15" spans="1:37" ht="13.4" customHeight="1">
      <c r="A15" s="12" t="s">
        <v>87</v>
      </c>
      <c r="B15" s="467" t="s">
        <v>84</v>
      </c>
      <c r="C15" s="467"/>
      <c r="D15" s="467"/>
      <c r="E15" s="467"/>
      <c r="F15" s="467">
        <f>SUM('Cuenta total'!$G$4:$G$23)</f>
        <v>12</v>
      </c>
      <c r="G15" s="467"/>
      <c r="H15" s="467"/>
      <c r="J15" s="481" t="s">
        <v>88</v>
      </c>
      <c r="K15" s="482"/>
      <c r="L15" s="482"/>
      <c r="M15" s="482"/>
      <c r="N15" s="482"/>
      <c r="O15" s="483"/>
      <c r="P15" s="293">
        <f>IFERROR('Cuenta total'!$E$4,0)</f>
        <v>18</v>
      </c>
      <c r="Q15" s="293">
        <f>IFERROR('Cuenta total'!$E$5,0)</f>
        <v>36</v>
      </c>
      <c r="R15" s="293">
        <f>IFERROR('Cuenta total'!$E$6,0)</f>
        <v>0</v>
      </c>
      <c r="S15" s="293">
        <f>IFERROR('Cuenta total'!$E$7,0)</f>
        <v>0</v>
      </c>
      <c r="T15" s="293">
        <f>IFERROR('Cuenta total'!$E$8,0)</f>
        <v>0</v>
      </c>
      <c r="U15" s="293">
        <f>IFERROR('Cuenta total'!$E$9,0)</f>
        <v>0</v>
      </c>
      <c r="V15" s="293">
        <f>IFERROR('Cuenta total'!$E$10,0)</f>
        <v>0</v>
      </c>
      <c r="W15" s="293">
        <f>IFERROR('Cuenta total'!$E$11,0)</f>
        <v>0</v>
      </c>
      <c r="X15" s="293">
        <f>IFERROR('Cuenta total'!$E$12,0)</f>
        <v>0</v>
      </c>
      <c r="Y15" s="293">
        <f>IFERROR('Cuenta total'!$E$13,0)</f>
        <v>0</v>
      </c>
      <c r="Z15" s="7"/>
      <c r="AA15" s="7"/>
      <c r="AB15" s="7"/>
      <c r="AC15" s="7"/>
      <c r="AD15" s="7"/>
      <c r="AE15" s="7"/>
      <c r="AF15" s="7"/>
      <c r="AG15" s="7"/>
      <c r="AH15" s="7"/>
      <c r="AI15" s="7"/>
      <c r="AJ15" s="7"/>
      <c r="AK15" s="7"/>
    </row>
    <row r="16" spans="1:37" ht="13.4" customHeight="1">
      <c r="A16" s="12" t="s">
        <v>89</v>
      </c>
      <c r="B16" s="467" t="s">
        <v>86</v>
      </c>
      <c r="C16" s="467"/>
      <c r="D16" s="467"/>
      <c r="E16" s="467"/>
      <c r="F16" s="467">
        <f>SUM('Cuenta total'!$D$4:$D$23)</f>
        <v>12</v>
      </c>
      <c r="G16" s="467"/>
      <c r="H16" s="467"/>
      <c r="I16" s="97"/>
      <c r="J16" s="471" t="s">
        <v>90</v>
      </c>
      <c r="K16" s="472"/>
      <c r="L16" s="472"/>
      <c r="M16" s="472"/>
      <c r="N16" s="472"/>
      <c r="O16" s="473"/>
      <c r="P16" s="293">
        <f>IFERROR('Cuenta total'!I4,0)</f>
        <v>4</v>
      </c>
      <c r="Q16" s="293">
        <f>IFERROR('Cuenta total'!I5,0)</f>
        <v>8</v>
      </c>
      <c r="R16" s="293">
        <f>IFERROR('Cuenta total'!I6,0)</f>
        <v>0</v>
      </c>
      <c r="S16" s="293">
        <f>IFERROR('Cuenta total'!I7,0)</f>
        <v>0</v>
      </c>
      <c r="T16" s="293">
        <f>IFERROR('Cuenta total'!I8,0)</f>
        <v>0</v>
      </c>
      <c r="U16" s="293">
        <f>IFERROR('Cuenta total'!I9,0)</f>
        <v>0</v>
      </c>
      <c r="V16" s="293">
        <f>IFERROR('Cuenta total'!I10,0)</f>
        <v>0</v>
      </c>
      <c r="W16" s="293">
        <f>IFERROR('Cuenta total'!I11,0)</f>
        <v>0</v>
      </c>
      <c r="X16" s="293">
        <f>IFERROR('Cuenta total'!I12,0)</f>
        <v>0</v>
      </c>
      <c r="Y16" s="293">
        <f>IFERROR('Cuenta total'!I13,0)</f>
        <v>0</v>
      </c>
      <c r="Z16" s="7"/>
      <c r="AA16" s="7"/>
      <c r="AB16" s="7"/>
      <c r="AC16" s="7"/>
      <c r="AD16" s="7"/>
      <c r="AE16" s="7"/>
      <c r="AF16" s="7"/>
      <c r="AG16" s="7"/>
      <c r="AH16" s="7"/>
      <c r="AI16" s="7"/>
      <c r="AJ16" s="7"/>
      <c r="AK16" s="7"/>
    </row>
    <row r="17" spans="1:37" ht="13.5" customHeight="1">
      <c r="A17" s="12" t="s">
        <v>580</v>
      </c>
      <c r="B17" s="467" t="s">
        <v>579</v>
      </c>
      <c r="C17" s="467"/>
      <c r="D17" s="467"/>
      <c r="E17" s="467"/>
      <c r="F17" s="467">
        <f>SUM('Cuenta total'!$E$4:$E$23)</f>
        <v>54</v>
      </c>
      <c r="G17" s="467"/>
      <c r="H17" s="467"/>
      <c r="I17" s="97"/>
      <c r="J17" s="471" t="s">
        <v>91</v>
      </c>
      <c r="K17" s="472"/>
      <c r="L17" s="472"/>
      <c r="M17" s="472"/>
      <c r="N17" s="472"/>
      <c r="O17" s="473"/>
      <c r="P17" s="293">
        <f>IFERROR('Cuenta total'!$C$4,0)</f>
        <v>5</v>
      </c>
      <c r="Q17" s="293">
        <f>IFERROR('Cuenta total'!$C$5,0)</f>
        <v>10</v>
      </c>
      <c r="R17" s="293">
        <f>IFERROR('Cuenta total'!$C$6,0)</f>
        <v>0</v>
      </c>
      <c r="S17" s="293">
        <f>IFERROR('Cuenta total'!$C$7,0)</f>
        <v>0</v>
      </c>
      <c r="T17" s="293">
        <f>IFERROR('Cuenta total'!$C$8,0)</f>
        <v>0</v>
      </c>
      <c r="U17" s="293">
        <f>IFERROR('Cuenta total'!$C$9,0)</f>
        <v>0</v>
      </c>
      <c r="V17" s="293">
        <f>IFERROR('Cuenta total'!$C$10,0)</f>
        <v>0</v>
      </c>
      <c r="W17" s="293">
        <f>IFERROR('Cuenta total'!$C$11,0)</f>
        <v>0</v>
      </c>
      <c r="X17" s="293">
        <f>IFERROR('Cuenta total'!$C$12,0)</f>
        <v>0</v>
      </c>
      <c r="Y17" s="293">
        <f>IFERROR('Cuenta total'!$C$13,0)</f>
        <v>0</v>
      </c>
      <c r="Z17" s="7"/>
      <c r="AA17" s="7"/>
      <c r="AB17" s="7"/>
      <c r="AC17" s="7"/>
      <c r="AD17" s="7"/>
      <c r="AE17" s="7"/>
      <c r="AF17" s="7"/>
      <c r="AG17" s="7"/>
      <c r="AH17" s="7"/>
      <c r="AI17" s="7"/>
      <c r="AJ17" s="7"/>
      <c r="AK17" s="7"/>
    </row>
    <row r="18" spans="1:37" ht="13.5" customHeight="1">
      <c r="A18" s="12" t="str">
        <f>+IF('Datos de Proyecto'!D37=4.72,"N00023","-")</f>
        <v>N00023</v>
      </c>
      <c r="B18" s="467" t="str">
        <f>+IF('Datos de Proyecto'!D37=4.72,"END CAP NOVOTEGRA","-")</f>
        <v>END CAP NOVOTEGRA</v>
      </c>
      <c r="C18" s="467"/>
      <c r="D18" s="467"/>
      <c r="E18" s="467"/>
      <c r="F18" s="467">
        <f>IF('Datos de Proyecto'!D37=4.72,SUM('Cuenta total'!$I$4:$I$23),"-")</f>
        <v>12</v>
      </c>
      <c r="G18" s="467"/>
      <c r="H18" s="467"/>
      <c r="J18" s="471" t="s">
        <v>92</v>
      </c>
      <c r="K18" s="472"/>
      <c r="L18" s="472"/>
      <c r="M18" s="472"/>
      <c r="N18" s="472"/>
      <c r="O18" s="473"/>
      <c r="P18" s="293">
        <f>IFERROR('Cuenta total'!H4,0)</f>
        <v>1</v>
      </c>
      <c r="Q18" s="293">
        <f>IFERROR('Cuenta total'!H5,0)</f>
        <v>2</v>
      </c>
      <c r="R18" s="293">
        <f>IFERROR('Cuenta total'!H6,0)</f>
        <v>0</v>
      </c>
      <c r="S18" s="293">
        <f>IFERROR('Cuenta total'!H7,0)</f>
        <v>0</v>
      </c>
      <c r="T18" s="293">
        <f>IFERROR('Cuenta total'!H8,0)</f>
        <v>0</v>
      </c>
      <c r="U18" s="293">
        <f>IFERROR('Cuenta total'!H9,0)</f>
        <v>0</v>
      </c>
      <c r="V18" s="293">
        <f>IFERROR('Cuenta total'!H10,0)</f>
        <v>0</v>
      </c>
      <c r="W18" s="293">
        <f>IFERROR('Cuenta total'!H11,0)</f>
        <v>0</v>
      </c>
      <c r="X18" s="293">
        <f>IFERROR('Cuenta total'!H12,0)</f>
        <v>0</v>
      </c>
      <c r="Y18" s="293">
        <f>IFERROR('Cuenta total'!H13,0)</f>
        <v>0</v>
      </c>
      <c r="Z18" s="7"/>
      <c r="AA18" s="7"/>
      <c r="AB18" s="7"/>
      <c r="AC18" s="7"/>
      <c r="AD18" s="7"/>
      <c r="AE18" s="7"/>
      <c r="AF18" s="7"/>
      <c r="AG18" s="7"/>
      <c r="AH18" s="7"/>
      <c r="AI18" s="7"/>
      <c r="AJ18" s="7"/>
      <c r="AK18" s="7"/>
    </row>
    <row r="19" spans="1:37" ht="13.5" customHeight="1">
      <c r="A19" s="12" t="s">
        <v>93</v>
      </c>
      <c r="B19" s="467" t="s">
        <v>91</v>
      </c>
      <c r="C19" s="467"/>
      <c r="D19" s="467"/>
      <c r="E19" s="467"/>
      <c r="F19" s="467">
        <f>IF(E5="ERROR:La longitud del riel EO no puede ser mayor a 24m","ERROR",SUM('Cuenta total'!$C$4:$C$23))</f>
        <v>15</v>
      </c>
      <c r="G19" s="467"/>
      <c r="H19" s="467"/>
      <c r="J19" s="474">
        <f>B21</f>
        <v>0</v>
      </c>
      <c r="K19" s="475"/>
      <c r="L19" s="475"/>
      <c r="M19" s="475"/>
      <c r="N19" s="475"/>
      <c r="O19" s="476"/>
      <c r="P19" s="293">
        <f>'Cuenta total'!J4</f>
        <v>0</v>
      </c>
      <c r="Q19" s="293">
        <f>'Cuenta total'!J5</f>
        <v>0</v>
      </c>
      <c r="R19" s="293">
        <f>'Cuenta total'!J6</f>
        <v>0</v>
      </c>
      <c r="S19" s="293">
        <f>'Cuenta total'!J7</f>
        <v>0</v>
      </c>
      <c r="T19" s="293">
        <f>'Cuenta total'!J8</f>
        <v>0</v>
      </c>
      <c r="U19" s="293">
        <f>'Cuenta total'!J9</f>
        <v>0</v>
      </c>
      <c r="V19" s="293">
        <f>'Cuenta total'!J10</f>
        <v>0</v>
      </c>
      <c r="W19" s="293">
        <f>'Cuenta total'!J11</f>
        <v>0</v>
      </c>
      <c r="X19" s="293">
        <f>'Cuenta total'!J12</f>
        <v>0</v>
      </c>
      <c r="Y19" s="293">
        <f>'Cuenta total'!J13</f>
        <v>0</v>
      </c>
      <c r="Z19" s="7"/>
      <c r="AA19" s="7"/>
      <c r="AB19" s="7"/>
      <c r="AC19" s="7"/>
      <c r="AD19" s="7"/>
      <c r="AE19" s="7"/>
      <c r="AF19" s="7"/>
      <c r="AG19" s="7"/>
      <c r="AH19" s="7"/>
      <c r="AI19" s="7"/>
      <c r="AJ19" s="7"/>
      <c r="AK19" s="7"/>
    </row>
    <row r="20" spans="1:37" ht="13.5" customHeight="1">
      <c r="A20" s="12" t="s">
        <v>94</v>
      </c>
      <c r="B20" s="467" t="s">
        <v>574</v>
      </c>
      <c r="C20" s="467"/>
      <c r="D20" s="467"/>
      <c r="E20" s="467"/>
      <c r="F20" s="467">
        <f>SUM('Cuenta total'!$H$4:$H$23)</f>
        <v>3</v>
      </c>
      <c r="G20" s="467"/>
      <c r="H20" s="467"/>
      <c r="J20" s="474">
        <f>IF('Datos de Proyecto'!D32="S-5! PROTEA II","N BOLT",IF('Datos de Proyecto'!D32="NOVOTEGRA M2 CLAMP","M8-1.25 X 20MM BOLT",IF('Datos de Proyecto'!D32="NOVOTEGRA M1 CLAMP","M8-1.25 X 20MM BOLT",0)))</f>
        <v>0</v>
      </c>
      <c r="K20" s="475"/>
      <c r="L20" s="475"/>
      <c r="M20" s="475"/>
      <c r="N20" s="475"/>
      <c r="O20" s="476"/>
      <c r="P20" s="293">
        <f>IF(OR($J$20="N BOLT",$J$20="M8-1.25 X 20MM BOLT"),P19,0)</f>
        <v>0</v>
      </c>
      <c r="Q20" s="293">
        <f t="shared" ref="Q20:Y20" si="1">IF(OR($J$20="N BOLT",$J$20="M8-1.25 X 20MM BOLT"),Q19,0)</f>
        <v>0</v>
      </c>
      <c r="R20" s="293">
        <f t="shared" si="1"/>
        <v>0</v>
      </c>
      <c r="S20" s="293">
        <f t="shared" si="1"/>
        <v>0</v>
      </c>
      <c r="T20" s="293">
        <f t="shared" si="1"/>
        <v>0</v>
      </c>
      <c r="U20" s="293">
        <f t="shared" si="1"/>
        <v>0</v>
      </c>
      <c r="V20" s="293">
        <f t="shared" si="1"/>
        <v>0</v>
      </c>
      <c r="W20" s="293">
        <f t="shared" si="1"/>
        <v>0</v>
      </c>
      <c r="X20" s="293">
        <f t="shared" si="1"/>
        <v>0</v>
      </c>
      <c r="Y20" s="293">
        <f t="shared" si="1"/>
        <v>0</v>
      </c>
      <c r="Z20" s="7"/>
      <c r="AA20" s="7"/>
      <c r="AB20" s="7"/>
      <c r="AC20" s="7"/>
      <c r="AD20" s="7"/>
      <c r="AE20" s="7"/>
      <c r="AF20" s="7"/>
      <c r="AG20" s="7"/>
      <c r="AH20" s="7"/>
      <c r="AI20" s="7"/>
      <c r="AJ20" s="7"/>
      <c r="AK20" s="7"/>
    </row>
    <row r="21" spans="1:37" ht="13.5" customHeight="1">
      <c r="A21" s="44" cm="1">
        <f t="array" ref="A21">IFERROR(_xlfn.IFS(B21="S-5! PROTEA II","M00200",B21="CORRUBRACKET","M00062", B21="S5! STD","M00061",B21="NOVOTEGRA M2 CLAMP","N00021",B21="NOVOTEGRA M1 CLAMP","N00022",B21="SET JT3-SB-3-8.0x85/50","M00151"),0)</f>
        <v>0</v>
      </c>
      <c r="B21" s="470">
        <f>+'Datos de Proyecto'!D32</f>
        <v>0</v>
      </c>
      <c r="C21" s="470"/>
      <c r="D21" s="470"/>
      <c r="E21" s="470"/>
      <c r="F21" s="467">
        <f>IF(B21=0,0,IF(B21="S-5! PROTEA II",SUM(P44:Y44,P19:Y19),F14))</f>
        <v>0</v>
      </c>
      <c r="G21" s="467"/>
      <c r="H21" s="467"/>
      <c r="J21" s="474" t="str">
        <f>IF('Datos de Proyecto'!$D$32="S-5! PROTEA II","N NUT","")</f>
        <v/>
      </c>
      <c r="K21" s="475"/>
      <c r="L21" s="475"/>
      <c r="M21" s="475"/>
      <c r="N21" s="475"/>
      <c r="O21" s="476"/>
      <c r="P21" s="293">
        <f>IF($J$21="N NUT",P19,0)</f>
        <v>0</v>
      </c>
      <c r="Q21" s="293">
        <f t="shared" ref="Q21:Y21" si="2">IF($J$21="N NUT",Q19,0)</f>
        <v>0</v>
      </c>
      <c r="R21" s="293">
        <f t="shared" si="2"/>
        <v>0</v>
      </c>
      <c r="S21" s="293">
        <f t="shared" si="2"/>
        <v>0</v>
      </c>
      <c r="T21" s="293">
        <f t="shared" si="2"/>
        <v>0</v>
      </c>
      <c r="U21" s="293">
        <f t="shared" si="2"/>
        <v>0</v>
      </c>
      <c r="V21" s="293">
        <f t="shared" si="2"/>
        <v>0</v>
      </c>
      <c r="W21" s="293">
        <f t="shared" si="2"/>
        <v>0</v>
      </c>
      <c r="X21" s="293">
        <f t="shared" si="2"/>
        <v>0</v>
      </c>
      <c r="Y21" s="293">
        <f t="shared" si="2"/>
        <v>0</v>
      </c>
      <c r="Z21" s="7"/>
      <c r="AA21" s="7"/>
      <c r="AB21" s="7"/>
      <c r="AC21" s="7"/>
      <c r="AD21" s="7"/>
      <c r="AE21" s="7"/>
      <c r="AF21" s="7"/>
      <c r="AG21" s="7"/>
      <c r="AH21" s="7"/>
      <c r="AI21" s="7"/>
      <c r="AJ21" s="7"/>
      <c r="AK21" s="7"/>
    </row>
    <row r="22" spans="1:37" ht="13.5" customHeight="1">
      <c r="A22" s="53" t="str">
        <f>IF(B22="M8-1.25 X 20MM BOLT","M00165",IF(B22="N BOLT","N00008",""))</f>
        <v/>
      </c>
      <c r="B22" s="467">
        <f>IF('Datos de Proyecto'!D32="S-5! PROTEA II","N BOLT",IF('Datos de Proyecto'!D32="NOVOTEGRA M2 CLAMP","M8-1.25 X 20MM BOLT",IF('Datos de Proyecto'!D32="NOVOTEGRA M1 CLAMP","M8-1.25 X 20MM BOLT",0)))</f>
        <v>0</v>
      </c>
      <c r="C22" s="467"/>
      <c r="D22" s="467"/>
      <c r="E22" s="467"/>
      <c r="F22" s="467">
        <f>IF('Datos de Proyecto'!D32="S-5! PROTEA II",'Sistema Coplanar'!F21,IF('Datos de Proyecto'!D32="NOVOTEGRA M2 CLAMP",F21,IF('Datos de Proyecto'!D32="NOVOTEGRA M1 CLAMP",'Sistema Coplanar'!F21,0)))</f>
        <v>0</v>
      </c>
      <c r="G22" s="467"/>
      <c r="H22" s="467"/>
      <c r="Z22" s="7"/>
      <c r="AA22" s="7"/>
      <c r="AB22" s="7"/>
      <c r="AC22" s="7"/>
      <c r="AD22" s="7"/>
      <c r="AE22" s="7"/>
      <c r="AF22" s="7"/>
      <c r="AG22" s="7"/>
      <c r="AH22" s="7"/>
      <c r="AI22" s="7"/>
      <c r="AJ22" s="7"/>
      <c r="AK22" s="7"/>
    </row>
    <row r="23" spans="1:37" ht="13.5" customHeight="1">
      <c r="A23" s="53" t="str">
        <f>IF(B23="N NUT","N00010","")</f>
        <v/>
      </c>
      <c r="B23" s="467" t="str">
        <f>IF('Datos de Proyecto'!$D$32="S-5! PROTEA II","N NUT","")</f>
        <v/>
      </c>
      <c r="C23" s="467"/>
      <c r="D23" s="467"/>
      <c r="E23" s="467"/>
      <c r="F23" s="467" t="str">
        <f>IF(B23="N NUT",F22,"")</f>
        <v/>
      </c>
      <c r="G23" s="467"/>
      <c r="H23" s="467"/>
      <c r="Z23" s="7"/>
      <c r="AA23" s="7"/>
      <c r="AB23" s="7"/>
      <c r="AC23" s="7"/>
      <c r="AD23" s="7"/>
      <c r="AE23" s="7"/>
      <c r="AF23" s="7"/>
      <c r="AG23" s="7"/>
      <c r="AH23" s="7"/>
      <c r="AI23" s="7"/>
      <c r="AJ23" s="7"/>
      <c r="AK23" s="7"/>
    </row>
    <row r="24" spans="1:37" ht="13.5" customHeight="1">
      <c r="Z24" s="7"/>
      <c r="AA24" s="7"/>
      <c r="AB24" s="7"/>
      <c r="AC24" s="7"/>
      <c r="AD24" s="7"/>
      <c r="AE24" s="7"/>
      <c r="AF24" s="7"/>
      <c r="AG24" s="7"/>
      <c r="AH24" s="7"/>
      <c r="AI24" s="7"/>
      <c r="AJ24" s="7"/>
      <c r="AK24" s="7"/>
    </row>
    <row r="25" spans="1:37" ht="13.5" customHeight="1">
      <c r="A25" s="103"/>
      <c r="B25" s="489" t="s">
        <v>95</v>
      </c>
      <c r="C25" s="489"/>
      <c r="D25" s="489"/>
      <c r="E25" s="489"/>
      <c r="F25" s="489"/>
      <c r="G25" s="489"/>
      <c r="H25" s="489"/>
      <c r="Z25" s="7"/>
      <c r="AA25" s="7"/>
      <c r="AB25" s="7"/>
      <c r="AC25" s="7"/>
      <c r="AD25" s="7"/>
      <c r="AE25" s="7"/>
      <c r="AF25" s="7"/>
      <c r="AG25" s="7"/>
      <c r="AH25" s="7"/>
      <c r="AI25" s="7"/>
      <c r="AJ25" s="7"/>
      <c r="AK25" s="7"/>
    </row>
    <row r="26" spans="1:37" ht="13.5" customHeight="1">
      <c r="A26" s="48"/>
      <c r="B26" s="496"/>
      <c r="C26" s="496"/>
      <c r="D26" s="496"/>
      <c r="E26" s="496"/>
      <c r="F26" s="497"/>
      <c r="G26" s="497"/>
      <c r="H26" s="497"/>
      <c r="Z26" s="7"/>
      <c r="AA26" s="7"/>
      <c r="AB26" s="7"/>
      <c r="AC26" s="7"/>
      <c r="AD26" s="7"/>
      <c r="AE26" s="7"/>
      <c r="AF26" s="7"/>
      <c r="AG26" s="7"/>
      <c r="AH26" s="7"/>
      <c r="AI26" s="7"/>
      <c r="AJ26" s="7"/>
      <c r="AK26" s="7"/>
    </row>
    <row r="27" spans="1:37" ht="13.5" customHeight="1">
      <c r="A27" s="295"/>
      <c r="B27" s="468" t="s">
        <v>96</v>
      </c>
      <c r="C27" s="468"/>
      <c r="D27" s="468"/>
      <c r="E27" s="296">
        <f>'Formula de apoyo'!X7</f>
        <v>1.8524999999999998</v>
      </c>
      <c r="F27" s="297"/>
      <c r="G27" s="297"/>
      <c r="H27" s="298"/>
      <c r="Z27" s="7"/>
      <c r="AA27" s="7"/>
      <c r="AB27" s="7"/>
      <c r="AC27" s="7"/>
      <c r="AD27" s="7"/>
      <c r="AE27" s="7"/>
      <c r="AF27" s="7"/>
      <c r="AG27" s="7"/>
      <c r="AH27" s="7"/>
      <c r="AI27" s="7"/>
      <c r="AJ27" s="7"/>
      <c r="AK27" s="7"/>
    </row>
    <row r="28" spans="1:37" ht="13.5" customHeight="1">
      <c r="A28" s="400"/>
      <c r="B28" s="400"/>
      <c r="C28" s="400"/>
      <c r="D28" s="400"/>
      <c r="E28" s="400"/>
      <c r="F28" s="400"/>
      <c r="G28" s="400"/>
      <c r="H28" s="400"/>
      <c r="I28" s="298"/>
    </row>
    <row r="29" spans="1:37" ht="13.5" customHeight="1">
      <c r="A29" s="495"/>
      <c r="B29" s="495"/>
      <c r="C29" s="495"/>
      <c r="D29" s="495"/>
      <c r="E29" s="495"/>
      <c r="F29" s="495"/>
      <c r="G29" s="495"/>
      <c r="H29" s="495"/>
      <c r="I29" s="400"/>
    </row>
    <row r="30" spans="1:37" ht="13.5" customHeight="1">
      <c r="A30" s="7"/>
      <c r="B30" s="7"/>
      <c r="D30" s="9"/>
      <c r="I30" s="298"/>
      <c r="J30" s="490" t="s">
        <v>71</v>
      </c>
      <c r="K30" s="491"/>
      <c r="L30" s="491"/>
      <c r="M30" s="491"/>
      <c r="N30" s="491"/>
      <c r="O30" s="491"/>
      <c r="P30" s="492"/>
      <c r="Q30" s="492"/>
      <c r="R30" s="492"/>
      <c r="S30" s="492"/>
      <c r="T30" s="492"/>
      <c r="U30" s="492"/>
      <c r="V30" s="492"/>
      <c r="W30" s="492"/>
      <c r="X30" s="492"/>
      <c r="Y30" s="493"/>
    </row>
    <row r="31" spans="1:37" ht="13.5" customHeight="1">
      <c r="A31" s="7"/>
      <c r="B31" s="7"/>
      <c r="D31" s="9"/>
      <c r="J31" s="498" t="s">
        <v>73</v>
      </c>
      <c r="K31" s="498"/>
      <c r="L31" s="498"/>
      <c r="M31" s="498"/>
      <c r="N31" s="498"/>
      <c r="O31" s="498"/>
      <c r="P31" s="254">
        <v>11</v>
      </c>
      <c r="Q31" s="254">
        <v>12</v>
      </c>
      <c r="R31" s="254">
        <v>13</v>
      </c>
      <c r="S31" s="254">
        <v>14</v>
      </c>
      <c r="T31" s="254">
        <v>15</v>
      </c>
      <c r="U31" s="254">
        <v>16</v>
      </c>
      <c r="V31" s="254">
        <v>17</v>
      </c>
      <c r="W31" s="254">
        <v>18</v>
      </c>
      <c r="X31" s="254">
        <v>19</v>
      </c>
      <c r="Y31" s="254">
        <v>20</v>
      </c>
    </row>
    <row r="32" spans="1:37" ht="13.5" customHeight="1">
      <c r="A32" s="7"/>
      <c r="B32" s="7"/>
      <c r="D32" s="9"/>
      <c r="J32" s="494" t="s">
        <v>53</v>
      </c>
      <c r="K32" s="494"/>
      <c r="L32" s="494"/>
      <c r="M32" s="494"/>
      <c r="N32" s="494"/>
      <c r="O32" s="494"/>
      <c r="P32" s="273">
        <f>'Datos de Proyecto'!H31</f>
        <v>0</v>
      </c>
      <c r="Q32" s="273">
        <f>'Datos de Proyecto'!H32</f>
        <v>0</v>
      </c>
      <c r="R32" s="273">
        <f>'Datos de Proyecto'!H33</f>
        <v>0</v>
      </c>
      <c r="S32" s="273">
        <f>'Datos de Proyecto'!H34</f>
        <v>0</v>
      </c>
      <c r="T32" s="273">
        <f>'Datos de Proyecto'!H35</f>
        <v>0</v>
      </c>
      <c r="U32" s="273">
        <f>'Datos de Proyecto'!H36</f>
        <v>0</v>
      </c>
      <c r="V32" s="273">
        <f>'Datos de Proyecto'!H37</f>
        <v>0</v>
      </c>
      <c r="W32" s="273">
        <f>'Datos de Proyecto'!H38</f>
        <v>0</v>
      </c>
      <c r="X32" s="273">
        <f>'Datos de Proyecto'!H39</f>
        <v>0</v>
      </c>
      <c r="Y32" s="273">
        <f>'Datos de Proyecto'!H40</f>
        <v>0</v>
      </c>
    </row>
    <row r="33" spans="3:25" ht="13.5" customHeight="1">
      <c r="C33"/>
      <c r="J33" s="480" t="s">
        <v>76</v>
      </c>
      <c r="K33" s="480"/>
      <c r="L33" s="480"/>
      <c r="M33" s="480"/>
      <c r="N33" s="480"/>
      <c r="O33" s="480"/>
      <c r="P33" s="255">
        <f>'Datos de Proyecto'!$G31</f>
        <v>0</v>
      </c>
      <c r="Q33" s="255">
        <f>'Datos de Proyecto'!$G32</f>
        <v>0</v>
      </c>
      <c r="R33" s="255">
        <f>'Datos de Proyecto'!$G33</f>
        <v>0</v>
      </c>
      <c r="S33" s="255">
        <f>'Datos de Proyecto'!$G34</f>
        <v>0</v>
      </c>
      <c r="T33" s="255">
        <f>'Datos de Proyecto'!$G35</f>
        <v>0</v>
      </c>
      <c r="U33" s="255">
        <f>'Datos de Proyecto'!$G36</f>
        <v>0</v>
      </c>
      <c r="V33" s="255">
        <f>'Datos de Proyecto'!$G37</f>
        <v>0</v>
      </c>
      <c r="W33" s="255">
        <f>'Datos de Proyecto'!$G38</f>
        <v>0</v>
      </c>
      <c r="X33" s="255">
        <f>'Datos de Proyecto'!$G39</f>
        <v>0</v>
      </c>
      <c r="Y33" s="255">
        <f>'Datos de Proyecto'!$G40</f>
        <v>0</v>
      </c>
    </row>
    <row r="34" spans="3:25" ht="13.5" customHeight="1">
      <c r="C34"/>
      <c r="J34" s="480" t="s">
        <v>583</v>
      </c>
      <c r="K34" s="480"/>
      <c r="L34" s="480"/>
      <c r="M34" s="480"/>
      <c r="N34" s="480"/>
      <c r="O34" s="480"/>
      <c r="P34" s="255">
        <f t="shared" ref="P34:Y34" si="3">IF(P37="",P44/2,P37/2)</f>
        <v>0</v>
      </c>
      <c r="Q34" s="255">
        <f t="shared" si="3"/>
        <v>0</v>
      </c>
      <c r="R34" s="255">
        <f t="shared" si="3"/>
        <v>0</v>
      </c>
      <c r="S34" s="255">
        <f t="shared" si="3"/>
        <v>0</v>
      </c>
      <c r="T34" s="255">
        <f t="shared" si="3"/>
        <v>0</v>
      </c>
      <c r="U34" s="255">
        <f t="shared" si="3"/>
        <v>0</v>
      </c>
      <c r="V34" s="255">
        <f t="shared" si="3"/>
        <v>0</v>
      </c>
      <c r="W34" s="255">
        <f t="shared" si="3"/>
        <v>0</v>
      </c>
      <c r="X34" s="255">
        <f t="shared" si="3"/>
        <v>0</v>
      </c>
      <c r="Y34" s="255">
        <f t="shared" si="3"/>
        <v>0</v>
      </c>
    </row>
    <row r="35" spans="3:25" ht="13.5" customHeight="1">
      <c r="J35" s="480" t="s">
        <v>582</v>
      </c>
      <c r="K35" s="480"/>
      <c r="L35" s="480"/>
      <c r="M35" s="480"/>
      <c r="N35" s="480"/>
      <c r="O35" s="480"/>
      <c r="P35" s="294">
        <f>IF('Calculo de Span'!L46="Error","ERROR",'Calculo de Span'!$K$46)</f>
        <v>0</v>
      </c>
      <c r="Q35" s="294">
        <f>IF('Calculo de Span'!L47="Error","ERROR",'Calculo de Span'!$K$47)</f>
        <v>0</v>
      </c>
      <c r="R35" s="294">
        <f>IF('Calculo de Span'!L48="Error","ERROR",'Calculo de Span'!$K$48)</f>
        <v>0</v>
      </c>
      <c r="S35" s="294">
        <f>IF('Calculo de Span'!L49="Error","ERROR",'Calculo de Span'!$K$49)</f>
        <v>0</v>
      </c>
      <c r="T35" s="294">
        <f>IF('Calculo de Span'!L50="Error","ERROR",'Calculo de Span'!$K$50)</f>
        <v>0</v>
      </c>
      <c r="U35" s="294">
        <f>IF('Calculo de Span'!L51="Error","ERROR",'Calculo de Span'!$K$51)</f>
        <v>0</v>
      </c>
      <c r="V35" s="294">
        <f>IF('Calculo de Span'!L52="Error","ERROR",'Calculo de Span'!$K$52)</f>
        <v>0</v>
      </c>
      <c r="W35" s="294">
        <f>IF('Calculo de Span'!L53="Error","ERROR",'Calculo de Span'!$K$53)</f>
        <v>0</v>
      </c>
      <c r="X35" s="294">
        <f>IF('Calculo de Span'!L54="Error","ERROR",'Calculo de Span'!$K$54)</f>
        <v>0</v>
      </c>
      <c r="Y35" s="294">
        <f>IF('Calculo de Span'!L55="Error","ERROR",'Calculo de Span'!$K$55)</f>
        <v>0</v>
      </c>
    </row>
    <row r="36" spans="3:25" ht="13.5" customHeight="1" thickBot="1">
      <c r="J36" s="503" t="s">
        <v>79</v>
      </c>
      <c r="K36" s="503"/>
      <c r="L36" s="503"/>
      <c r="M36" s="503"/>
      <c r="N36" s="503"/>
      <c r="O36" s="503"/>
      <c r="P36" s="274">
        <f>IF('Datos de Proyecto'!$H$31&lt;&gt;0,VLOOKUP('Datos de Proyecto'!$H$31,'Calculo de Span'!$A$36:$J$55,9,FALSE),0)</f>
        <v>0</v>
      </c>
      <c r="Q36" s="274">
        <f>IF('Datos de Proyecto'!$H$32&lt;&gt;0,VLOOKUP('Datos de Proyecto'!$H$32,'Calculo de Span'!$A$36:$J$55,9,FALSE),0)</f>
        <v>0</v>
      </c>
      <c r="R36" s="274">
        <f>IF('Datos de Proyecto'!$H$33&lt;&gt;0,VLOOKUP('Datos de Proyecto'!$H$33,'Calculo de Span'!$A$36:$J$55,9,FALSE),0)</f>
        <v>0</v>
      </c>
      <c r="S36" s="274">
        <f>IF('Datos de Proyecto'!$H$34&lt;&gt;0,VLOOKUP('Datos de Proyecto'!$H$34,'Calculo de Span'!$A$36:$J$55,9,FALSE),0)</f>
        <v>0</v>
      </c>
      <c r="T36" s="274">
        <f>IF('Datos de Proyecto'!$H$35&lt;&gt;0,VLOOKUP('Datos de Proyecto'!$H$35,'Calculo de Span'!$A$36:$J$55,9,FALSE),0)</f>
        <v>0</v>
      </c>
      <c r="U36" s="274">
        <f>IF('Datos de Proyecto'!$H$36&lt;&gt;0,VLOOKUP('Datos de Proyecto'!$H$36,'Calculo de Span'!$A$36:$J$55,9,FALSE),0)</f>
        <v>0</v>
      </c>
      <c r="V36" s="274">
        <f>IF('Datos de Proyecto'!$H$37&lt;&gt;0,VLOOKUP('Datos de Proyecto'!$H$37,'Calculo de Span'!$A$36:$J$55,9,FALSE),0)</f>
        <v>0</v>
      </c>
      <c r="W36" s="274">
        <f>IF('Datos de Proyecto'!$H$38&lt;&gt;0,VLOOKUP('Datos de Proyecto'!$H$38,'Calculo de Span'!$A$36:$J$55,9,FALSE),0)</f>
        <v>0</v>
      </c>
      <c r="X36" s="274">
        <f>IF('Datos de Proyecto'!$H$39&lt;&gt;0,VLOOKUP('Datos de Proyecto'!$H$39,'Calculo de Span'!$A$36:$J$55,9,FALSE),0)</f>
        <v>0</v>
      </c>
      <c r="Y36" s="274">
        <f>IF('Datos de Proyecto'!$H$40&lt;&gt;0,VLOOKUP('Datos de Proyecto'!$H$40,'Calculo de Span'!$A$36:$J$55,9,FALSE),0)</f>
        <v>0</v>
      </c>
    </row>
    <row r="37" spans="3:25" ht="13.5" customHeight="1" thickTop="1">
      <c r="J37" s="499" t="s">
        <v>80</v>
      </c>
      <c r="K37" s="500"/>
      <c r="L37" s="500"/>
      <c r="M37" s="500"/>
      <c r="N37" s="500"/>
      <c r="O37" s="501"/>
      <c r="P37" s="291">
        <f>IFERROR('Cuenta total'!$F$14,0)</f>
        <v>0</v>
      </c>
      <c r="Q37" s="291">
        <f>IFERROR('Cuenta total'!$F$15,0)</f>
        <v>0</v>
      </c>
      <c r="R37" s="291">
        <f>IFERROR('Cuenta total'!$F$16,0)</f>
        <v>0</v>
      </c>
      <c r="S37" s="291">
        <f>IFERROR('Cuenta total'!$F$17,0)</f>
        <v>0</v>
      </c>
      <c r="T37" s="291">
        <f>IFERROR('Cuenta total'!$F$18,0)</f>
        <v>0</v>
      </c>
      <c r="U37" s="291">
        <f>IFERROR('Cuenta total'!$F$19,0)</f>
        <v>0</v>
      </c>
      <c r="V37" s="291">
        <f>IFERROR('Cuenta total'!$F$20,0)</f>
        <v>0</v>
      </c>
      <c r="W37" s="291">
        <f>IFERROR('Cuenta total'!$F$21,0)</f>
        <v>0</v>
      </c>
      <c r="X37" s="291">
        <f>IFERROR('Cuenta total'!$F$22,0)</f>
        <v>0</v>
      </c>
      <c r="Y37" s="291">
        <f>IFERROR('Cuenta total'!$F$23,0)</f>
        <v>0</v>
      </c>
    </row>
    <row r="38" spans="3:25" ht="13.5" customHeight="1">
      <c r="J38" s="481" t="s">
        <v>84</v>
      </c>
      <c r="K38" s="482"/>
      <c r="L38" s="482"/>
      <c r="M38" s="482"/>
      <c r="N38" s="482"/>
      <c r="O38" s="483"/>
      <c r="P38" s="292">
        <f>IFERROR('Cuenta total'!$G$14,0)</f>
        <v>0</v>
      </c>
      <c r="Q38" s="293">
        <f>IFERROR('Cuenta total'!$G$15,0)</f>
        <v>0</v>
      </c>
      <c r="R38" s="293">
        <f>IFERROR('Cuenta total'!$G$16,0)</f>
        <v>0</v>
      </c>
      <c r="S38" s="293">
        <f>IFERROR('Cuenta total'!$G$17,0)</f>
        <v>0</v>
      </c>
      <c r="T38" s="293">
        <f>IFERROR('Cuenta total'!$G$18,0)</f>
        <v>0</v>
      </c>
      <c r="U38" s="293">
        <f>IFERROR('Cuenta total'!$G$19,0)</f>
        <v>0</v>
      </c>
      <c r="V38" s="293">
        <f>IFERROR('Cuenta total'!$G$20,0)</f>
        <v>0</v>
      </c>
      <c r="W38" s="293">
        <f>IFERROR('Cuenta total'!$G$21,0)</f>
        <v>0</v>
      </c>
      <c r="X38" s="293">
        <f>IFERROR('Cuenta total'!$G$22,0)</f>
        <v>0</v>
      </c>
      <c r="Y38" s="293">
        <f>IFERROR('Cuenta total'!$G$23,0)</f>
        <v>0</v>
      </c>
    </row>
    <row r="39" spans="3:25" ht="13.5" customHeight="1">
      <c r="J39" s="471" t="s">
        <v>86</v>
      </c>
      <c r="K39" s="472"/>
      <c r="L39" s="472"/>
      <c r="M39" s="472"/>
      <c r="N39" s="472"/>
      <c r="O39" s="473"/>
      <c r="P39" s="293">
        <f>IFERROR('Cuenta total'!$D$14,0)</f>
        <v>0</v>
      </c>
      <c r="Q39" s="293">
        <f>IFERROR('Cuenta total'!$D$15,0)</f>
        <v>0</v>
      </c>
      <c r="R39" s="293">
        <f>IFERROR('Cuenta total'!$D$16,0)</f>
        <v>0</v>
      </c>
      <c r="S39" s="293">
        <f>IFERROR('Cuenta total'!$D$17,0)</f>
        <v>0</v>
      </c>
      <c r="T39" s="293">
        <f>IFERROR('Cuenta total'!$D$18,0)</f>
        <v>0</v>
      </c>
      <c r="U39" s="293">
        <f>IFERROR('Cuenta total'!$D$19,0)</f>
        <v>0</v>
      </c>
      <c r="V39" s="293">
        <f>IFERROR('Cuenta total'!$D$20,0)</f>
        <v>0</v>
      </c>
      <c r="W39" s="293">
        <f>IFERROR('Cuenta total'!$D$21,0)</f>
        <v>0</v>
      </c>
      <c r="X39" s="293">
        <f>IFERROR('Cuenta total'!$D$22,0)</f>
        <v>0</v>
      </c>
      <c r="Y39" s="293">
        <f>IFERROR('Cuenta total'!$D$23,0)</f>
        <v>0</v>
      </c>
    </row>
    <row r="40" spans="3:25" ht="13.5" customHeight="1">
      <c r="J40" s="481" t="s">
        <v>88</v>
      </c>
      <c r="K40" s="482"/>
      <c r="L40" s="482"/>
      <c r="M40" s="482"/>
      <c r="N40" s="482"/>
      <c r="O40" s="483"/>
      <c r="P40" s="293">
        <f>IFERROR('Cuenta total'!$E$14,0)</f>
        <v>0</v>
      </c>
      <c r="Q40" s="293">
        <f>IFERROR('Cuenta total'!E$15,0)</f>
        <v>0</v>
      </c>
      <c r="R40" s="293">
        <f>IFERROR('Cuenta total'!$E$16,0)</f>
        <v>0</v>
      </c>
      <c r="S40" s="293">
        <f>IFERROR('Cuenta total'!$E$17,0)</f>
        <v>0</v>
      </c>
      <c r="T40" s="293">
        <f>IFERROR('Cuenta total'!$E$18,0)</f>
        <v>0</v>
      </c>
      <c r="U40" s="293">
        <f>IFERROR('Cuenta total'!$E$19,0)</f>
        <v>0</v>
      </c>
      <c r="V40" s="293">
        <f>IFERROR('Cuenta total'!$E$20,0)</f>
        <v>0</v>
      </c>
      <c r="W40" s="293">
        <f>IFERROR('Cuenta total'!$E$21,0)</f>
        <v>0</v>
      </c>
      <c r="X40" s="293">
        <f>IFERROR('Cuenta total'!$E$22,0)</f>
        <v>0</v>
      </c>
      <c r="Y40" s="293">
        <f>IFERROR('Cuenta total'!$E$23,0)</f>
        <v>0</v>
      </c>
    </row>
    <row r="41" spans="3:25" ht="13.5" customHeight="1">
      <c r="J41" s="471" t="s">
        <v>90</v>
      </c>
      <c r="K41" s="472"/>
      <c r="L41" s="472"/>
      <c r="M41" s="472"/>
      <c r="N41" s="472"/>
      <c r="O41" s="473"/>
      <c r="P41" s="293">
        <f>IFERROR('Cuenta total'!I14,0)</f>
        <v>0</v>
      </c>
      <c r="Q41" s="293">
        <f>IFERROR('Cuenta total'!I15,0)</f>
        <v>0</v>
      </c>
      <c r="R41" s="293">
        <f>IFERROR('Cuenta total'!I16,0)</f>
        <v>0</v>
      </c>
      <c r="S41" s="293">
        <f>IFERROR('Cuenta total'!I17,0)</f>
        <v>0</v>
      </c>
      <c r="T41" s="293">
        <f>IFERROR('Cuenta total'!I18,0)</f>
        <v>0</v>
      </c>
      <c r="U41" s="293">
        <f>IFERROR('Cuenta total'!I19,0)</f>
        <v>0</v>
      </c>
      <c r="V41" s="293">
        <f>IFERROR('Cuenta total'!I20,0)</f>
        <v>0</v>
      </c>
      <c r="W41" s="293">
        <f>IFERROR('Cuenta total'!I21,0)</f>
        <v>0</v>
      </c>
      <c r="X41" s="293">
        <f>IFERROR('Cuenta total'!I22,0)</f>
        <v>0</v>
      </c>
      <c r="Y41" s="293">
        <f>IFERROR('Cuenta total'!I23,0)</f>
        <v>0</v>
      </c>
    </row>
    <row r="42" spans="3:25" ht="13.5" customHeight="1">
      <c r="J42" s="471" t="s">
        <v>91</v>
      </c>
      <c r="K42" s="472"/>
      <c r="L42" s="472"/>
      <c r="M42" s="472"/>
      <c r="N42" s="472"/>
      <c r="O42" s="473"/>
      <c r="P42" s="293">
        <f>IFERROR('Cuenta total'!$C$14,0)</f>
        <v>0</v>
      </c>
      <c r="Q42" s="293">
        <f>IFERROR('Cuenta total'!$C$15,0)</f>
        <v>0</v>
      </c>
      <c r="R42" s="293">
        <f>IFERROR('Cuenta total'!$C$16,0)</f>
        <v>0</v>
      </c>
      <c r="S42" s="293">
        <f>IFERROR('Cuenta total'!$C$17,0)</f>
        <v>0</v>
      </c>
      <c r="T42" s="293">
        <f>IFERROR('Cuenta total'!$C$18,0)</f>
        <v>0</v>
      </c>
      <c r="U42" s="293">
        <f>IFERROR('Cuenta total'!$C$19,0)</f>
        <v>0</v>
      </c>
      <c r="V42" s="293">
        <f>IFERROR('Cuenta total'!$C$20,0)</f>
        <v>0</v>
      </c>
      <c r="W42" s="293">
        <f>IFERROR('Cuenta total'!$C$21,0)</f>
        <v>0</v>
      </c>
      <c r="X42" s="293">
        <f>IFERROR('Cuenta total'!$C$22,0)</f>
        <v>0</v>
      </c>
      <c r="Y42" s="293">
        <f>IFERROR('Cuenta total'!$C$23,0)</f>
        <v>0</v>
      </c>
    </row>
    <row r="43" spans="3:25" ht="13.5" customHeight="1">
      <c r="J43" s="471" t="s">
        <v>92</v>
      </c>
      <c r="K43" s="472"/>
      <c r="L43" s="472"/>
      <c r="M43" s="472"/>
      <c r="N43" s="472"/>
      <c r="O43" s="473"/>
      <c r="P43" s="293">
        <f>IFERROR('Cuenta total'!H14,0)</f>
        <v>0</v>
      </c>
      <c r="Q43" s="293">
        <f>IFERROR('Cuenta total'!H15,0)</f>
        <v>0</v>
      </c>
      <c r="R43" s="293">
        <f>IFERROR('Cuenta total'!H16,0)</f>
        <v>0</v>
      </c>
      <c r="S43" s="293">
        <f>IFERROR('Cuenta total'!H17,0)</f>
        <v>0</v>
      </c>
      <c r="T43" s="293">
        <f>IFERROR('Cuenta total'!H18,0)</f>
        <v>0</v>
      </c>
      <c r="U43" s="293">
        <f>IFERROR('Cuenta total'!H19,0)</f>
        <v>0</v>
      </c>
      <c r="V43" s="293">
        <f>IFERROR('Cuenta total'!H20,0)</f>
        <v>0</v>
      </c>
      <c r="W43" s="293">
        <f>IFERROR('Cuenta total'!H21,0)</f>
        <v>0</v>
      </c>
      <c r="X43" s="293">
        <f>IFERROR('Cuenta total'!H22,0)</f>
        <v>0</v>
      </c>
      <c r="Y43" s="293">
        <f>IFERROR('Cuenta total'!H23,0)</f>
        <v>0</v>
      </c>
    </row>
    <row r="44" spans="3:25" ht="13.5" customHeight="1">
      <c r="J44" s="464">
        <f>B21</f>
        <v>0</v>
      </c>
      <c r="K44" s="465"/>
      <c r="L44" s="465"/>
      <c r="M44" s="465"/>
      <c r="N44" s="465"/>
      <c r="O44" s="466"/>
      <c r="P44" s="245">
        <f>'Cuenta total'!J14</f>
        <v>0</v>
      </c>
      <c r="Q44" s="245">
        <f>'Cuenta total'!J15</f>
        <v>0</v>
      </c>
      <c r="R44" s="245">
        <f>'Cuenta total'!J16</f>
        <v>0</v>
      </c>
      <c r="S44" s="293">
        <f>'Cuenta total'!J17</f>
        <v>0</v>
      </c>
      <c r="T44" s="293">
        <f>'Cuenta total'!J18</f>
        <v>0</v>
      </c>
      <c r="U44" s="293">
        <f>'Cuenta total'!J19</f>
        <v>0</v>
      </c>
      <c r="V44" s="293">
        <f>'Cuenta total'!J20</f>
        <v>0</v>
      </c>
      <c r="W44" s="293">
        <f>'Cuenta total'!J21</f>
        <v>0</v>
      </c>
      <c r="X44" s="293">
        <f>'Cuenta total'!J22</f>
        <v>0</v>
      </c>
      <c r="Y44" s="293">
        <f>'Cuenta total'!J23</f>
        <v>0</v>
      </c>
    </row>
    <row r="45" spans="3:25" ht="13.5" customHeight="1">
      <c r="J45" s="464">
        <f>IF('Datos de Proyecto'!D32="S-5! PROTEA II","N BOLT",IF('Datos de Proyecto'!D32="NOVOTEGRA M2 CLAMP","M8-1.25 X 20MM BOLT",IF('Datos de Proyecto'!D32="NOVOTEGRA M1 CLAMP","M8-1.25 X 20MM BOLT",0)))</f>
        <v>0</v>
      </c>
      <c r="K45" s="465"/>
      <c r="L45" s="465"/>
      <c r="M45" s="465"/>
      <c r="N45" s="465"/>
      <c r="O45" s="466"/>
      <c r="P45" s="293">
        <f>IF(OR($J$45="N BOLT",$J$45="M8-1.25 X 20MM BOLT"),P44,0)</f>
        <v>0</v>
      </c>
      <c r="Q45" s="293">
        <f t="shared" ref="Q45:Y45" si="4">IF(OR($J$45="N BOLT",$J$45="M8-1.25 X 20MM BOLT"),Q44,0)</f>
        <v>0</v>
      </c>
      <c r="R45" s="293">
        <f t="shared" si="4"/>
        <v>0</v>
      </c>
      <c r="S45" s="293">
        <f t="shared" si="4"/>
        <v>0</v>
      </c>
      <c r="T45" s="293">
        <f t="shared" si="4"/>
        <v>0</v>
      </c>
      <c r="U45" s="293">
        <f t="shared" si="4"/>
        <v>0</v>
      </c>
      <c r="V45" s="293">
        <f t="shared" si="4"/>
        <v>0</v>
      </c>
      <c r="W45" s="293">
        <f t="shared" si="4"/>
        <v>0</v>
      </c>
      <c r="X45" s="293">
        <f t="shared" si="4"/>
        <v>0</v>
      </c>
      <c r="Y45" s="293">
        <f t="shared" si="4"/>
        <v>0</v>
      </c>
    </row>
    <row r="46" spans="3:25" ht="13.5" customHeight="1">
      <c r="J46" s="464" t="str">
        <f>IF('Datos de Proyecto'!$D$32="S-5! PROTEA II","N NUT","")</f>
        <v/>
      </c>
      <c r="K46" s="465"/>
      <c r="L46" s="465"/>
      <c r="M46" s="465"/>
      <c r="N46" s="465"/>
      <c r="O46" s="466"/>
      <c r="P46" s="245">
        <f>IF($J$46="N NUT",P44,0)</f>
        <v>0</v>
      </c>
      <c r="Q46" s="245">
        <f t="shared" ref="Q46:Y46" si="5">IF($J$46="N NUT",Q44,0)</f>
        <v>0</v>
      </c>
      <c r="R46" s="245">
        <f t="shared" si="5"/>
        <v>0</v>
      </c>
      <c r="S46" s="245">
        <f t="shared" si="5"/>
        <v>0</v>
      </c>
      <c r="T46" s="245">
        <f t="shared" si="5"/>
        <v>0</v>
      </c>
      <c r="U46" s="245">
        <f t="shared" si="5"/>
        <v>0</v>
      </c>
      <c r="V46" s="245">
        <f t="shared" si="5"/>
        <v>0</v>
      </c>
      <c r="W46" s="245">
        <f t="shared" si="5"/>
        <v>0</v>
      </c>
      <c r="X46" s="245">
        <f t="shared" si="5"/>
        <v>0</v>
      </c>
      <c r="Y46" s="245">
        <f t="shared" si="5"/>
        <v>0</v>
      </c>
    </row>
    <row r="47" spans="3:25" ht="13.5" customHeight="1"/>
    <row r="48" spans="3:25" ht="13.5" customHeight="1"/>
    <row r="49" ht="13.5" customHeight="1"/>
    <row r="50" ht="13.5" customHeight="1"/>
  </sheetData>
  <sheetProtection algorithmName="SHA-512" hashValue="8PL7Q8p9f1s9gQbNe65RoANk9wDI99thigPqQ4DOVZ4HjUV2vTkhWHYEqVtru+88QVyg+TY55KU6lYyuX2gD1w==" saltValue="+6zYOtI0ScE/sbKSfLTx3A==" spinCount="100000" sheet="1" selectLockedCells="1"/>
  <mergeCells count="67">
    <mergeCell ref="J45:O45"/>
    <mergeCell ref="J46:O46"/>
    <mergeCell ref="E5:H8"/>
    <mergeCell ref="J35:O35"/>
    <mergeCell ref="J32:O32"/>
    <mergeCell ref="J33:O33"/>
    <mergeCell ref="J36:O36"/>
    <mergeCell ref="J30:Y30"/>
    <mergeCell ref="J34:O34"/>
    <mergeCell ref="F14:H14"/>
    <mergeCell ref="B23:E23"/>
    <mergeCell ref="F23:H23"/>
    <mergeCell ref="J6:O6"/>
    <mergeCell ref="J16:O16"/>
    <mergeCell ref="J17:O17"/>
    <mergeCell ref="J20:O20"/>
    <mergeCell ref="J39:O39"/>
    <mergeCell ref="J40:O40"/>
    <mergeCell ref="J31:O31"/>
    <mergeCell ref="J37:O37"/>
    <mergeCell ref="J38:O38"/>
    <mergeCell ref="J21:O21"/>
    <mergeCell ref="B25:E25"/>
    <mergeCell ref="F25:H25"/>
    <mergeCell ref="A29:H29"/>
    <mergeCell ref="B26:E26"/>
    <mergeCell ref="F26:H26"/>
    <mergeCell ref="J3:Y4"/>
    <mergeCell ref="B13:E13"/>
    <mergeCell ref="F13:H13"/>
    <mergeCell ref="B20:E20"/>
    <mergeCell ref="B19:E19"/>
    <mergeCell ref="B18:E18"/>
    <mergeCell ref="B17:E17"/>
    <mergeCell ref="B16:E16"/>
    <mergeCell ref="B15:E15"/>
    <mergeCell ref="B14:E14"/>
    <mergeCell ref="F20:H20"/>
    <mergeCell ref="F19:H19"/>
    <mergeCell ref="F18:H18"/>
    <mergeCell ref="F15:H15"/>
    <mergeCell ref="J5:Y5"/>
    <mergeCell ref="J7:O7"/>
    <mergeCell ref="J12:O12"/>
    <mergeCell ref="J8:O8"/>
    <mergeCell ref="J13:O13"/>
    <mergeCell ref="J14:O14"/>
    <mergeCell ref="J15:O15"/>
    <mergeCell ref="J11:O11"/>
    <mergeCell ref="J10:O10"/>
    <mergeCell ref="J9:O9"/>
    <mergeCell ref="J44:O44"/>
    <mergeCell ref="AG12:AH12"/>
    <mergeCell ref="B27:D27"/>
    <mergeCell ref="A11:H12"/>
    <mergeCell ref="B21:E21"/>
    <mergeCell ref="B22:E22"/>
    <mergeCell ref="F22:H22"/>
    <mergeCell ref="F21:H21"/>
    <mergeCell ref="AD12:AF12"/>
    <mergeCell ref="J18:O18"/>
    <mergeCell ref="J19:O19"/>
    <mergeCell ref="J41:O41"/>
    <mergeCell ref="F17:H17"/>
    <mergeCell ref="F16:H16"/>
    <mergeCell ref="J43:O43"/>
    <mergeCell ref="J42:O42"/>
  </mergeCells>
  <pageMargins left="0.25" right="0.25" top="0.75" bottom="0.75" header="0.3" footer="0.3"/>
  <pageSetup orientation="portrait" r:id="rId1"/>
  <headerFooter>
    <oddHeader>&amp;L&amp;G
&amp;C&amp;"BayWa Sans Book,Negrita"&amp;16&amp;K278C46Tilted Roof&amp;R&amp;"BayWa Sans Book,Normal"&amp;D
&amp;T</oddHeader>
    <oddFooter>&amp;R&amp;P</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71CAF-54EC-4C04-90E4-86AA99E616EA}">
  <sheetPr codeName="Hoja4"/>
  <dimension ref="A1:AU53"/>
  <sheetViews>
    <sheetView showZeros="0" zoomScaleNormal="100" zoomScalePageLayoutView="50" workbookViewId="0">
      <selection activeCell="F10" sqref="F10"/>
    </sheetView>
  </sheetViews>
  <sheetFormatPr defaultColWidth="10.81640625" defaultRowHeight="14.5"/>
  <cols>
    <col min="1" max="1" width="10.81640625" style="1" customWidth="1"/>
    <col min="2" max="2" width="12.81640625" style="1" customWidth="1"/>
    <col min="3" max="3" width="22.1796875" style="1" customWidth="1"/>
    <col min="4" max="4" width="19.453125" style="1" customWidth="1"/>
    <col min="5" max="5" width="17.1796875" style="1" customWidth="1"/>
    <col min="6" max="6" width="4" style="1" customWidth="1"/>
    <col min="7" max="7" width="6.1796875" style="1" customWidth="1"/>
    <col min="8" max="8" width="3.1796875" style="1" customWidth="1"/>
    <col min="9" max="9" width="3.81640625" style="1" customWidth="1"/>
    <col min="10" max="10" width="0.1796875" style="1" customWidth="1"/>
    <col min="11" max="11" width="1.7265625" style="1" customWidth="1"/>
    <col min="12" max="12" width="2.453125" style="1" customWidth="1"/>
    <col min="13" max="15" width="3.81640625" style="1" customWidth="1"/>
    <col min="16" max="16" width="5.453125" style="1" customWidth="1"/>
    <col min="17" max="17" width="3.81640625" style="1" customWidth="1"/>
    <col min="18" max="18" width="5.08984375" style="1" customWidth="1"/>
    <col min="19" max="28" width="6.81640625" style="1" customWidth="1"/>
    <col min="29" max="29" width="5.81640625" style="1" customWidth="1"/>
    <col min="30" max="31" width="3.1796875" style="1" customWidth="1"/>
    <col min="32" max="34" width="4" style="1" customWidth="1"/>
    <col min="35" max="44" width="6.81640625" style="1" customWidth="1"/>
    <col min="45" max="16384" width="10.81640625" style="1"/>
  </cols>
  <sheetData>
    <row r="1" spans="1:47" ht="13.5" customHeight="1">
      <c r="A1" s="3" t="s">
        <v>98</v>
      </c>
      <c r="B1" s="3"/>
      <c r="C1" s="3">
        <f>nm</f>
        <v>0</v>
      </c>
      <c r="D1" s="10"/>
      <c r="M1" s="487" t="s">
        <v>99</v>
      </c>
      <c r="N1" s="487"/>
      <c r="O1" s="487"/>
      <c r="P1" s="487"/>
      <c r="Q1" s="487"/>
      <c r="R1" s="487"/>
      <c r="S1" s="487"/>
      <c r="T1" s="487"/>
      <c r="U1" s="487"/>
      <c r="V1" s="487"/>
      <c r="W1" s="487"/>
      <c r="X1" s="487"/>
      <c r="Y1" s="487"/>
      <c r="Z1" s="487"/>
      <c r="AA1" s="487"/>
      <c r="AB1" s="487"/>
    </row>
    <row r="2" spans="1:47" ht="13.5" customHeight="1">
      <c r="A2" s="3" t="s">
        <v>35</v>
      </c>
      <c r="B2" s="3"/>
      <c r="C2" s="3">
        <f>cnt</f>
        <v>0</v>
      </c>
      <c r="M2" s="488"/>
      <c r="N2" s="488"/>
      <c r="O2" s="488"/>
      <c r="P2" s="488"/>
      <c r="Q2" s="488"/>
      <c r="R2" s="488"/>
      <c r="S2" s="488"/>
      <c r="T2" s="488"/>
      <c r="U2" s="488"/>
      <c r="V2" s="488"/>
      <c r="W2" s="488"/>
      <c r="X2" s="488"/>
      <c r="Y2" s="488"/>
      <c r="Z2" s="488"/>
      <c r="AA2" s="488"/>
      <c r="AB2" s="488"/>
    </row>
    <row r="3" spans="1:47" ht="13.5" customHeight="1">
      <c r="A3" s="3" t="s">
        <v>67</v>
      </c>
      <c r="B3" s="3"/>
      <c r="C3" s="3">
        <f>mail</f>
        <v>0</v>
      </c>
      <c r="M3" s="504" t="s">
        <v>100</v>
      </c>
      <c r="N3" s="504"/>
      <c r="O3" s="504"/>
      <c r="P3" s="504"/>
      <c r="Q3" s="504"/>
      <c r="R3" s="504"/>
      <c r="S3" s="504"/>
      <c r="T3" s="504"/>
      <c r="U3" s="504"/>
      <c r="V3" s="504"/>
      <c r="W3" s="504"/>
      <c r="X3" s="504"/>
      <c r="Y3" s="504"/>
      <c r="Z3" s="504"/>
      <c r="AA3" s="504"/>
      <c r="AB3" s="504"/>
      <c r="AC3" s="7"/>
      <c r="AD3" s="7"/>
      <c r="AE3" s="7"/>
      <c r="AF3" s="85"/>
      <c r="AG3" s="85"/>
      <c r="AH3" s="85"/>
      <c r="AI3" s="85"/>
      <c r="AJ3" s="85"/>
      <c r="AK3" s="85"/>
      <c r="AL3" s="85"/>
      <c r="AM3" s="85"/>
      <c r="AN3" s="85"/>
      <c r="AO3" s="85"/>
      <c r="AP3" s="85"/>
      <c r="AQ3" s="85"/>
      <c r="AR3" s="85"/>
      <c r="AS3" s="85"/>
      <c r="AT3" s="85"/>
      <c r="AU3" s="85"/>
    </row>
    <row r="4" spans="1:47" ht="13.5" customHeight="1">
      <c r="A4" s="2" t="s">
        <v>69</v>
      </c>
      <c r="C4" s="520" t="str">
        <f>'Datos de Proyecto'!C15</f>
        <v xml:space="preserve">Colima / Colima </v>
      </c>
      <c r="D4" s="520"/>
      <c r="E4" s="502">
        <f>IF(MAX('Calculo de Span'!K8:K27)&gt;24,"ERROR:La longitud del riel EO no puede ser mayor a 24m",0)</f>
        <v>0</v>
      </c>
      <c r="F4" s="502"/>
      <c r="G4" s="502"/>
      <c r="H4" s="502"/>
      <c r="M4" s="505" t="s">
        <v>73</v>
      </c>
      <c r="N4" s="505"/>
      <c r="O4" s="505"/>
      <c r="P4" s="505"/>
      <c r="Q4" s="505"/>
      <c r="R4" s="505"/>
      <c r="S4" s="391">
        <v>1</v>
      </c>
      <c r="T4" s="391">
        <v>2</v>
      </c>
      <c r="U4" s="391">
        <v>3</v>
      </c>
      <c r="V4" s="391">
        <v>4</v>
      </c>
      <c r="W4" s="391">
        <v>5</v>
      </c>
      <c r="X4" s="391">
        <v>6</v>
      </c>
      <c r="Y4" s="391">
        <v>7</v>
      </c>
      <c r="Z4" s="391">
        <v>8</v>
      </c>
      <c r="AA4" s="391">
        <v>9</v>
      </c>
      <c r="AB4" s="391">
        <v>10</v>
      </c>
      <c r="AC4" s="7"/>
      <c r="AD4" s="7"/>
      <c r="AE4" s="7"/>
      <c r="AF4" s="514"/>
      <c r="AG4" s="514"/>
      <c r="AH4" s="514"/>
      <c r="AI4" s="514"/>
      <c r="AJ4" s="514"/>
      <c r="AK4" s="514"/>
      <c r="AL4" s="82"/>
      <c r="AM4" s="82"/>
      <c r="AN4" s="82"/>
      <c r="AO4" s="82"/>
      <c r="AP4" s="82"/>
      <c r="AQ4" s="82"/>
      <c r="AR4" s="82"/>
      <c r="AS4" s="82"/>
      <c r="AT4" s="82"/>
      <c r="AU4" s="82"/>
    </row>
    <row r="5" spans="1:47" ht="13.5" customHeight="1">
      <c r="A5" s="3" t="s">
        <v>101</v>
      </c>
      <c r="B5" s="3"/>
      <c r="C5" s="104">
        <f>'Datos de Proyecto'!C16</f>
        <v>120</v>
      </c>
      <c r="E5" s="502"/>
      <c r="F5" s="502"/>
      <c r="G5" s="502"/>
      <c r="H5" s="502"/>
      <c r="M5" s="480" t="s">
        <v>53</v>
      </c>
      <c r="N5" s="480"/>
      <c r="O5" s="480"/>
      <c r="P5" s="480"/>
      <c r="Q5" s="480"/>
      <c r="R5" s="480"/>
      <c r="S5" s="392">
        <f>'Datos de Proyecto'!K21</f>
        <v>0</v>
      </c>
      <c r="T5" s="392">
        <f>'Datos de Proyecto'!K22</f>
        <v>0</v>
      </c>
      <c r="U5" s="392">
        <f>'Datos de Proyecto'!K23</f>
        <v>0</v>
      </c>
      <c r="V5" s="392">
        <f>'Datos de Proyecto'!K24</f>
        <v>0</v>
      </c>
      <c r="W5" s="392">
        <f>'Datos de Proyecto'!K25</f>
        <v>0</v>
      </c>
      <c r="X5" s="392">
        <f>'Datos de Proyecto'!K26</f>
        <v>0</v>
      </c>
      <c r="Y5" s="392">
        <f>'Datos de Proyecto'!K27</f>
        <v>0</v>
      </c>
      <c r="Z5" s="392">
        <f>'Datos de Proyecto'!K28</f>
        <v>0</v>
      </c>
      <c r="AA5" s="392">
        <f>'Datos de Proyecto'!K29</f>
        <v>0</v>
      </c>
      <c r="AB5" s="392">
        <f>'Datos de Proyecto'!K30</f>
        <v>0</v>
      </c>
      <c r="AC5" s="7"/>
      <c r="AD5" s="7"/>
      <c r="AE5" s="7"/>
      <c r="AF5" s="515"/>
      <c r="AG5" s="515"/>
      <c r="AH5" s="515"/>
      <c r="AI5" s="515"/>
      <c r="AJ5" s="515"/>
      <c r="AK5" s="515"/>
      <c r="AL5" s="83"/>
      <c r="AM5" s="83"/>
      <c r="AN5" s="83"/>
      <c r="AO5" s="83"/>
      <c r="AP5" s="83"/>
      <c r="AQ5" s="83"/>
      <c r="AR5" s="83"/>
      <c r="AS5" s="83"/>
      <c r="AT5" s="83"/>
      <c r="AU5" s="83"/>
    </row>
    <row r="6" spans="1:47" ht="13.5" customHeight="1">
      <c r="A6" s="2" t="s">
        <v>72</v>
      </c>
      <c r="B6" s="2"/>
      <c r="C6" s="105">
        <f>'Datos de Proyecto'!D24</f>
        <v>615</v>
      </c>
      <c r="E6" s="502"/>
      <c r="F6" s="502"/>
      <c r="G6" s="502"/>
      <c r="H6" s="502"/>
      <c r="M6" s="480" t="s">
        <v>76</v>
      </c>
      <c r="N6" s="480"/>
      <c r="O6" s="480"/>
      <c r="P6" s="480"/>
      <c r="Q6" s="480"/>
      <c r="R6" s="480"/>
      <c r="S6" s="293">
        <f>'Datos de Proyecto'!J21</f>
        <v>0</v>
      </c>
      <c r="T6" s="293">
        <f>'Datos de Proyecto'!J22</f>
        <v>0</v>
      </c>
      <c r="U6" s="293">
        <f>'Datos de Proyecto'!J23</f>
        <v>0</v>
      </c>
      <c r="V6" s="293">
        <f>'Datos de Proyecto'!J24</f>
        <v>0</v>
      </c>
      <c r="W6" s="293">
        <f>'Datos de Proyecto'!J25</f>
        <v>0</v>
      </c>
      <c r="X6" s="293">
        <f>'Datos de Proyecto'!J26</f>
        <v>0</v>
      </c>
      <c r="Y6" s="293">
        <f>'Datos de Proyecto'!J27</f>
        <v>0</v>
      </c>
      <c r="Z6" s="293">
        <f>'Datos de Proyecto'!J28</f>
        <v>0</v>
      </c>
      <c r="AA6" s="293">
        <f>'Datos de Proyecto'!J29</f>
        <v>0</v>
      </c>
      <c r="AB6" s="293">
        <f>'Datos de Proyecto'!J30</f>
        <v>0</v>
      </c>
      <c r="AC6" s="7"/>
      <c r="AD6" s="7"/>
      <c r="AE6" s="7"/>
      <c r="AF6" s="515"/>
      <c r="AG6" s="515"/>
      <c r="AH6" s="515"/>
      <c r="AI6" s="515"/>
      <c r="AJ6" s="515"/>
      <c r="AK6" s="515"/>
      <c r="AL6" s="84"/>
      <c r="AM6" s="84"/>
      <c r="AN6" s="84"/>
      <c r="AO6" s="84"/>
      <c r="AP6" s="84"/>
      <c r="AQ6" s="84"/>
      <c r="AR6" s="84"/>
      <c r="AS6" s="84"/>
      <c r="AT6" s="84"/>
      <c r="AU6" s="84"/>
    </row>
    <row r="7" spans="1:47" ht="13.5" customHeight="1">
      <c r="A7" s="2" t="s">
        <v>74</v>
      </c>
      <c r="B7" s="2"/>
      <c r="C7" s="3">
        <f>SUM('Datos de Proyecto'!J21:J40)</f>
        <v>0</v>
      </c>
      <c r="E7" s="502"/>
      <c r="F7" s="502"/>
      <c r="G7" s="502"/>
      <c r="H7" s="502"/>
      <c r="M7" s="480" t="s">
        <v>97</v>
      </c>
      <c r="N7" s="480"/>
      <c r="O7" s="480"/>
      <c r="P7" s="480"/>
      <c r="Q7" s="480"/>
      <c r="R7" s="480"/>
      <c r="S7" s="293">
        <f>S14/2</f>
        <v>0</v>
      </c>
      <c r="T7" s="293">
        <f t="shared" ref="T7:AB7" si="0">T14/2</f>
        <v>0</v>
      </c>
      <c r="U7" s="293">
        <f t="shared" si="0"/>
        <v>0</v>
      </c>
      <c r="V7" s="293">
        <f t="shared" si="0"/>
        <v>0</v>
      </c>
      <c r="W7" s="293">
        <f t="shared" si="0"/>
        <v>0</v>
      </c>
      <c r="X7" s="293">
        <f t="shared" si="0"/>
        <v>0</v>
      </c>
      <c r="Y7" s="293">
        <f t="shared" si="0"/>
        <v>0</v>
      </c>
      <c r="Z7" s="293">
        <f t="shared" si="0"/>
        <v>0</v>
      </c>
      <c r="AA7" s="293">
        <f t="shared" si="0"/>
        <v>0</v>
      </c>
      <c r="AB7" s="293">
        <f t="shared" si="0"/>
        <v>0</v>
      </c>
      <c r="AC7" s="7"/>
      <c r="AD7" s="7"/>
      <c r="AE7" s="7"/>
      <c r="AF7" s="397"/>
      <c r="AG7" s="397"/>
      <c r="AH7" s="397"/>
      <c r="AI7" s="397"/>
      <c r="AJ7" s="397"/>
      <c r="AK7" s="397"/>
      <c r="AL7" s="84"/>
      <c r="AM7" s="84"/>
      <c r="AN7" s="84"/>
      <c r="AO7" s="84"/>
      <c r="AP7" s="84"/>
      <c r="AQ7" s="84"/>
      <c r="AR7" s="84"/>
      <c r="AS7" s="84"/>
      <c r="AT7" s="84"/>
      <c r="AU7" s="84"/>
    </row>
    <row r="8" spans="1:47" ht="13.5" customHeight="1">
      <c r="A8" s="2" t="s">
        <v>75</v>
      </c>
      <c r="C8" s="3" cm="1">
        <f t="array" ref="C8:D8">'Datos de Proyecto'!J42:K42</f>
        <v>0</v>
      </c>
      <c r="D8" s="1">
        <v>0</v>
      </c>
      <c r="M8" s="480" t="s">
        <v>582</v>
      </c>
      <c r="N8" s="480"/>
      <c r="O8" s="480"/>
      <c r="P8" s="480"/>
      <c r="Q8" s="480"/>
      <c r="R8" s="480"/>
      <c r="S8" s="393">
        <f>IF('Calculo de Span'!L8="Error","ERROR",'Calculo de Span'!$K$8)</f>
        <v>0</v>
      </c>
      <c r="T8" s="393">
        <f>IF('Calculo de Span'!L9="Error","ERROR",'Calculo de Span'!$K$9)</f>
        <v>0</v>
      </c>
      <c r="U8" s="393">
        <f>IF('Calculo de Span'!L10="Error","ERROR",'Calculo de Span'!$K$10)</f>
        <v>0</v>
      </c>
      <c r="V8" s="393">
        <f>IF('Calculo de Span'!L11="Error","ERROR",'Calculo de Span'!$K$11)</f>
        <v>0</v>
      </c>
      <c r="W8" s="393">
        <f>IF('Calculo de Span'!L12="Error","ERROR",'Calculo de Span'!$K$12)</f>
        <v>0</v>
      </c>
      <c r="X8" s="393">
        <f>IF('Calculo de Span'!L13="Error","ERROR",'Calculo de Span'!$K$13)</f>
        <v>0</v>
      </c>
      <c r="Y8" s="393">
        <f>IF('Calculo de Span'!L14="Error","ERROR",'Calculo de Span'!$K$14)</f>
        <v>0</v>
      </c>
      <c r="Z8" s="393">
        <f>IF('Calculo de Span'!L15="Error","ERROR",'Calculo de Span'!$K$15)</f>
        <v>0</v>
      </c>
      <c r="AA8" s="393">
        <f>IF('Calculo de Span'!L16="Error","ERROR",'Calculo de Span'!$K$16)</f>
        <v>0</v>
      </c>
      <c r="AB8" s="393">
        <f>IF('Calculo de Span'!L17="Error","ERROR",'Calculo de Span'!$K$17)</f>
        <v>0</v>
      </c>
      <c r="AC8" s="7"/>
      <c r="AD8" s="7"/>
      <c r="AE8" s="7"/>
      <c r="AP8" s="86"/>
      <c r="AQ8" s="86"/>
      <c r="AR8" s="86"/>
      <c r="AS8" s="86"/>
      <c r="AT8" s="86"/>
      <c r="AU8" s="86"/>
    </row>
    <row r="9" spans="1:47" ht="13.5" customHeight="1">
      <c r="A9" s="2" t="s">
        <v>77</v>
      </c>
      <c r="C9" s="106">
        <f>ROUNDUP(C8*'Datos de Proyecto'!D25*'Datos de Proyecto'!D26*1.2,0)</f>
        <v>0</v>
      </c>
      <c r="D9" s="320"/>
      <c r="M9" s="480" t="s">
        <v>584</v>
      </c>
      <c r="N9" s="480"/>
      <c r="O9" s="480"/>
      <c r="P9" s="480"/>
      <c r="Q9" s="480"/>
      <c r="R9" s="480"/>
      <c r="S9" s="393">
        <f>+'Formula de apoyo'!$C$5</f>
        <v>0</v>
      </c>
      <c r="T9" s="393">
        <f>+'Formula de apoyo'!$C$6</f>
        <v>0</v>
      </c>
      <c r="U9" s="393">
        <f>+'Formula de apoyo'!$C$7</f>
        <v>0</v>
      </c>
      <c r="V9" s="393">
        <f>+'Formula de apoyo'!$C$8</f>
        <v>0</v>
      </c>
      <c r="W9" s="393">
        <f>+'Formula de apoyo'!$C$9</f>
        <v>0</v>
      </c>
      <c r="X9" s="393">
        <f>+'Formula de apoyo'!$C$10</f>
        <v>0</v>
      </c>
      <c r="Y9" s="393">
        <f>+'Formula de apoyo'!$C$11</f>
        <v>0</v>
      </c>
      <c r="Z9" s="393">
        <f>+'Formula de apoyo'!$C$12</f>
        <v>0</v>
      </c>
      <c r="AA9" s="393">
        <f>+'Formula de apoyo'!$C$13</f>
        <v>0</v>
      </c>
      <c r="AB9" s="393">
        <f>+'Formula de apoyo'!$C$14</f>
        <v>0</v>
      </c>
      <c r="AC9" s="7"/>
      <c r="AD9" s="7"/>
      <c r="AE9" s="7"/>
      <c r="AF9" s="516"/>
      <c r="AG9" s="516"/>
      <c r="AH9" s="516"/>
      <c r="AI9" s="516"/>
      <c r="AJ9" s="516"/>
      <c r="AK9" s="516"/>
      <c r="AL9" s="87"/>
      <c r="AM9" s="86"/>
      <c r="AN9" s="86"/>
      <c r="AO9" s="86"/>
      <c r="AP9" s="86"/>
      <c r="AQ9" s="86"/>
      <c r="AR9" s="86"/>
      <c r="AS9" s="86"/>
      <c r="AT9" s="86"/>
      <c r="AU9" s="86"/>
    </row>
    <row r="10" spans="1:47" ht="13.5" customHeight="1">
      <c r="M10" s="480" t="s">
        <v>585</v>
      </c>
      <c r="N10" s="480"/>
      <c r="O10" s="480"/>
      <c r="P10" s="480"/>
      <c r="Q10" s="480"/>
      <c r="R10" s="480"/>
      <c r="S10" s="393">
        <f>+'Formula de apoyo'!$D$5</f>
        <v>0</v>
      </c>
      <c r="T10" s="393">
        <f>+'Formula de apoyo'!$D$6</f>
        <v>0</v>
      </c>
      <c r="U10" s="393">
        <f>+'Formula de apoyo'!$D$7</f>
        <v>0</v>
      </c>
      <c r="V10" s="393">
        <f>+'Formula de apoyo'!$D$8</f>
        <v>0</v>
      </c>
      <c r="W10" s="393">
        <f>+'Formula de apoyo'!$D$9</f>
        <v>0</v>
      </c>
      <c r="X10" s="393">
        <f>+'Formula de apoyo'!$D$10</f>
        <v>0</v>
      </c>
      <c r="Y10" s="393">
        <f>+'Formula de apoyo'!$D$11</f>
        <v>0</v>
      </c>
      <c r="Z10" s="393">
        <f>+'Formula de apoyo'!$D$12</f>
        <v>0</v>
      </c>
      <c r="AA10" s="393">
        <f>+'Formula de apoyo'!$D$13</f>
        <v>0</v>
      </c>
      <c r="AB10" s="393">
        <f>+'Formula de apoyo'!$D$14</f>
        <v>0</v>
      </c>
      <c r="AC10" s="7"/>
      <c r="AD10" s="7"/>
      <c r="AE10" s="7"/>
      <c r="AF10" s="517"/>
      <c r="AG10" s="517"/>
      <c r="AH10" s="517"/>
      <c r="AI10" s="517"/>
      <c r="AJ10" s="517"/>
      <c r="AK10" s="517"/>
      <c r="AL10" s="86"/>
      <c r="AM10" s="86"/>
      <c r="AN10" s="86"/>
      <c r="AO10" s="86"/>
      <c r="AP10" s="86"/>
      <c r="AQ10" s="86"/>
      <c r="AR10" s="86"/>
      <c r="AS10" s="86"/>
      <c r="AT10" s="86"/>
      <c r="AU10" s="86"/>
    </row>
    <row r="11" spans="1:47" ht="13.5" customHeight="1">
      <c r="A11" s="521" t="s">
        <v>78</v>
      </c>
      <c r="B11" s="521"/>
      <c r="C11" s="521"/>
      <c r="D11" s="521"/>
      <c r="E11" s="521"/>
      <c r="F11" s="521"/>
      <c r="G11" s="521"/>
      <c r="H11" s="521"/>
      <c r="M11" s="480" t="s">
        <v>587</v>
      </c>
      <c r="N11" s="480"/>
      <c r="O11" s="480"/>
      <c r="P11" s="480"/>
      <c r="Q11" s="480"/>
      <c r="R11" s="480"/>
      <c r="S11" s="293">
        <f>'Formula de apoyo'!A5*S6</f>
        <v>0</v>
      </c>
      <c r="T11" s="293">
        <f>'Formula de apoyo'!A6*T6</f>
        <v>0</v>
      </c>
      <c r="U11" s="293">
        <f>'Formula de apoyo'!A7*U6</f>
        <v>0</v>
      </c>
      <c r="V11" s="293">
        <f>'Formula de apoyo'!A8*V6</f>
        <v>0</v>
      </c>
      <c r="W11" s="293">
        <f>'Formula de apoyo'!A9*W6</f>
        <v>0</v>
      </c>
      <c r="X11" s="293">
        <f>'Formula de apoyo'!A10*X6</f>
        <v>0</v>
      </c>
      <c r="Y11" s="293">
        <f>'Formula de apoyo'!A11*Y6</f>
        <v>0</v>
      </c>
      <c r="Z11" s="293">
        <f>'Formula de apoyo'!A12*Z6</f>
        <v>0</v>
      </c>
      <c r="AA11" s="293">
        <f>'Formula de apoyo'!A13*AA6</f>
        <v>0</v>
      </c>
      <c r="AB11" s="293">
        <f>'Formula de apoyo'!A14*AB6</f>
        <v>0</v>
      </c>
      <c r="AC11" s="7"/>
      <c r="AD11" s="7"/>
      <c r="AE11" s="7"/>
      <c r="AF11" s="516"/>
      <c r="AG11" s="516"/>
      <c r="AH11" s="516"/>
      <c r="AI11" s="516"/>
      <c r="AJ11" s="516"/>
      <c r="AK11" s="516"/>
      <c r="AL11" s="86"/>
      <c r="AM11" s="86"/>
      <c r="AN11" s="86"/>
      <c r="AO11" s="86"/>
      <c r="AP11" s="86"/>
      <c r="AQ11" s="86"/>
      <c r="AR11" s="86"/>
      <c r="AS11" s="86"/>
      <c r="AT11" s="86"/>
      <c r="AU11" s="86"/>
    </row>
    <row r="12" spans="1:47" ht="13.5" customHeight="1" thickBot="1">
      <c r="A12" s="521"/>
      <c r="B12" s="521"/>
      <c r="C12" s="521"/>
      <c r="D12" s="521"/>
      <c r="E12" s="521"/>
      <c r="F12" s="521"/>
      <c r="G12" s="521"/>
      <c r="H12" s="521"/>
      <c r="M12" s="503" t="s">
        <v>79</v>
      </c>
      <c r="N12" s="503"/>
      <c r="O12" s="503"/>
      <c r="P12" s="503"/>
      <c r="Q12" s="503"/>
      <c r="R12" s="503"/>
      <c r="S12" s="394">
        <f>IF('Datos de Proyecto'!J21&lt;&gt;0,VLOOKUP('Datos de Proyecto'!K21,'Calculo de Span'!$A$8:$J$27,9,FALSE),0)</f>
        <v>0</v>
      </c>
      <c r="T12" s="394">
        <f>IF('Datos de Proyecto'!J22&lt;&gt;0,VLOOKUP('Datos de Proyecto'!K22,'Calculo de Span'!$A$8:$J$27,9,FALSE),0)</f>
        <v>0</v>
      </c>
      <c r="U12" s="394">
        <f>IF('Datos de Proyecto'!J23&lt;&gt;0,VLOOKUP('Datos de Proyecto'!K23,'Calculo de Span'!$A$8:$J$27,9,FALSE),0)</f>
        <v>0</v>
      </c>
      <c r="V12" s="394">
        <f>IF('Datos de Proyecto'!J24&lt;&gt;0,VLOOKUP('Datos de Proyecto'!K24,'Calculo de Span'!$A$8:$J$27,9,FALSE),0)</f>
        <v>0</v>
      </c>
      <c r="W12" s="394">
        <f>IF('Datos de Proyecto'!J25&lt;&gt;0,VLOOKUP('Datos de Proyecto'!K25,'Calculo de Span'!$A$8:$J$27,9,FALSE),0)</f>
        <v>0</v>
      </c>
      <c r="X12" s="394">
        <f>IF('Datos de Proyecto'!J26&lt;&gt;0,VLOOKUP('Datos de Proyecto'!K26,'Calculo de Span'!$A$8:$J$27,9,FALSE),0)</f>
        <v>0</v>
      </c>
      <c r="Y12" s="394">
        <f>IF('Datos de Proyecto'!J27&lt;&gt;0,VLOOKUP('Datos de Proyecto'!K27,'Calculo de Span'!$A$8:$J$27,9,FALSE),0)</f>
        <v>0</v>
      </c>
      <c r="Z12" s="394">
        <f>IF('Datos de Proyecto'!J28&lt;&gt;0,VLOOKUP('Datos de Proyecto'!K28,'Calculo de Span'!$A$8:$J$27,9,FALSE),0)</f>
        <v>0</v>
      </c>
      <c r="AA12" s="394">
        <f>IF('Datos de Proyecto'!J29&lt;&gt;0,VLOOKUP('Datos de Proyecto'!K29,'Calculo de Span'!$A$8:$J$27,9,FALSE),0)</f>
        <v>0</v>
      </c>
      <c r="AB12" s="394">
        <f>IF('Datos de Proyecto'!J30&lt;&gt;0,VLOOKUP('Datos de Proyecto'!K30,'Calculo de Span'!$A$8:$J$27,9,FALSE),0)</f>
        <v>0</v>
      </c>
      <c r="AC12" s="7"/>
      <c r="AD12" s="7"/>
      <c r="AE12" s="7"/>
      <c r="AF12" s="88"/>
      <c r="AG12" s="88"/>
      <c r="AH12" s="88"/>
      <c r="AI12" s="88"/>
      <c r="AJ12" s="88"/>
      <c r="AK12" s="88"/>
      <c r="AL12" s="86"/>
      <c r="AM12" s="86"/>
      <c r="AN12" s="86"/>
      <c r="AO12" s="86"/>
      <c r="AP12" s="86"/>
      <c r="AQ12" s="86"/>
      <c r="AR12" s="86"/>
      <c r="AS12" s="86"/>
      <c r="AT12" s="86"/>
      <c r="AU12" s="86"/>
    </row>
    <row r="13" spans="1:47" ht="13.4" customHeight="1" thickTop="1">
      <c r="A13" s="11" t="s">
        <v>81</v>
      </c>
      <c r="B13" s="489" t="s">
        <v>82</v>
      </c>
      <c r="C13" s="489"/>
      <c r="D13" s="489"/>
      <c r="E13" s="489"/>
      <c r="F13" s="489" t="s">
        <v>83</v>
      </c>
      <c r="G13" s="489"/>
      <c r="H13" s="489"/>
      <c r="M13" s="506" t="s">
        <v>104</v>
      </c>
      <c r="N13" s="507"/>
      <c r="O13" s="507"/>
      <c r="P13" s="507"/>
      <c r="Q13" s="507"/>
      <c r="R13" s="508"/>
      <c r="S13" s="291">
        <f>IFERROR('Cuenta total'!$O$4,0)</f>
        <v>0</v>
      </c>
      <c r="T13" s="291">
        <f>IFERROR('Cuenta total'!$O$5,0)</f>
        <v>0</v>
      </c>
      <c r="U13" s="291">
        <f>IFERROR('Cuenta total'!$O$6,0)</f>
        <v>0</v>
      </c>
      <c r="V13" s="291">
        <f>IFERROR('Cuenta total'!$O$7,0)</f>
        <v>0</v>
      </c>
      <c r="W13" s="291">
        <f>IFERROR('Cuenta total'!$O$8,0)</f>
        <v>0</v>
      </c>
      <c r="X13" s="291">
        <f>IFERROR('Cuenta total'!$O$9,0)</f>
        <v>0</v>
      </c>
      <c r="Y13" s="291">
        <f>IFERROR('Cuenta total'!$O$10,0)</f>
        <v>0</v>
      </c>
      <c r="Z13" s="291">
        <f>IFERROR('Cuenta total'!$O$11,0)</f>
        <v>0</v>
      </c>
      <c r="AA13" s="291">
        <f>IFERROR('Cuenta total'!$O$12,0)</f>
        <v>0</v>
      </c>
      <c r="AB13" s="291">
        <f>IFERROR('Cuenta total'!$O$13,0)</f>
        <v>0</v>
      </c>
      <c r="AC13" s="7"/>
      <c r="AD13" s="7"/>
      <c r="AE13" s="7"/>
      <c r="AF13" s="517"/>
      <c r="AG13" s="517"/>
      <c r="AH13" s="517"/>
      <c r="AI13" s="517"/>
      <c r="AJ13" s="517"/>
      <c r="AK13" s="517"/>
      <c r="AL13" s="86"/>
      <c r="AM13" s="86"/>
      <c r="AN13" s="86"/>
      <c r="AO13" s="86"/>
      <c r="AP13" s="86"/>
      <c r="AQ13" s="86"/>
      <c r="AR13" s="86"/>
      <c r="AS13" s="86"/>
      <c r="AT13" s="86"/>
      <c r="AU13" s="86"/>
    </row>
    <row r="14" spans="1:47" ht="13.5" customHeight="1">
      <c r="A14" s="12" t="s">
        <v>105</v>
      </c>
      <c r="B14" s="513" t="s">
        <v>104</v>
      </c>
      <c r="C14" s="513"/>
      <c r="D14" s="513"/>
      <c r="E14" s="513"/>
      <c r="F14" s="513">
        <f>SUM('Cuenta total'!$O$4:$O$23)</f>
        <v>0</v>
      </c>
      <c r="G14" s="513"/>
      <c r="H14" s="513"/>
      <c r="M14" s="471" t="s">
        <v>80</v>
      </c>
      <c r="N14" s="472"/>
      <c r="O14" s="472"/>
      <c r="P14" s="472"/>
      <c r="Q14" s="472"/>
      <c r="R14" s="473"/>
      <c r="S14" s="293">
        <f>IFERROR('Cuenta total'!$Q$4,0)</f>
        <v>0</v>
      </c>
      <c r="T14" s="293">
        <f>IFERROR('Cuenta total'!$Q$5,0)</f>
        <v>0</v>
      </c>
      <c r="U14" s="293">
        <f>IFERROR('Cuenta total'!$Q$6,0)</f>
        <v>0</v>
      </c>
      <c r="V14" s="293">
        <f>IFERROR('Cuenta total'!$Q$7,0)</f>
        <v>0</v>
      </c>
      <c r="W14" s="293">
        <f>IFERROR('Cuenta total'!$Q$8,0)</f>
        <v>0</v>
      </c>
      <c r="X14" s="293">
        <f>IFERROR('Cuenta total'!$Q$9,0)</f>
        <v>0</v>
      </c>
      <c r="Y14" s="293">
        <f>IFERROR('Cuenta total'!$Q$10,0)</f>
        <v>0</v>
      </c>
      <c r="Z14" s="293">
        <f>IFERROR('Cuenta total'!$Q$11,0)</f>
        <v>0</v>
      </c>
      <c r="AA14" s="293">
        <f>IFERROR('Cuenta total'!$Q$12,0)</f>
        <v>0</v>
      </c>
      <c r="AB14" s="293">
        <f>IFERROR('Cuenta total'!$Q$13,0)</f>
        <v>0</v>
      </c>
      <c r="AC14" s="7"/>
      <c r="AD14" s="7"/>
      <c r="AE14" s="7"/>
      <c r="AF14" s="517"/>
      <c r="AG14" s="517"/>
      <c r="AH14" s="517"/>
      <c r="AI14" s="517"/>
      <c r="AJ14" s="517"/>
      <c r="AK14" s="517"/>
      <c r="AL14" s="86"/>
      <c r="AM14" s="86"/>
      <c r="AN14" s="86"/>
      <c r="AO14" s="86"/>
      <c r="AP14" s="86"/>
      <c r="AQ14" s="86"/>
      <c r="AR14" s="86"/>
      <c r="AS14" s="86"/>
      <c r="AT14" s="86"/>
      <c r="AU14" s="86"/>
    </row>
    <row r="15" spans="1:47" ht="13.5" customHeight="1">
      <c r="A15" s="12" t="s">
        <v>85</v>
      </c>
      <c r="B15" s="467" t="s">
        <v>80</v>
      </c>
      <c r="C15" s="467"/>
      <c r="D15" s="467"/>
      <c r="E15" s="467"/>
      <c r="F15" s="467">
        <f>SUM('Cuenta total'!$Q$4:$Q$23)</f>
        <v>0</v>
      </c>
      <c r="G15" s="467"/>
      <c r="H15" s="467"/>
      <c r="M15" s="481" t="s">
        <v>84</v>
      </c>
      <c r="N15" s="482"/>
      <c r="O15" s="482"/>
      <c r="P15" s="482"/>
      <c r="Q15" s="482"/>
      <c r="R15" s="483"/>
      <c r="S15" s="293">
        <f>IFERROR('Cuenta total'!$R$4,0)</f>
        <v>0</v>
      </c>
      <c r="T15" s="293">
        <f>IFERROR('Cuenta total'!$R$5,0)</f>
        <v>0</v>
      </c>
      <c r="U15" s="293">
        <f>IFERROR('Cuenta total'!$R$6,0)</f>
        <v>0</v>
      </c>
      <c r="V15" s="293">
        <f>IFERROR('Cuenta total'!$R$7,0)</f>
        <v>0</v>
      </c>
      <c r="W15" s="293">
        <f>IFERROR('Cuenta total'!$R$8,0)</f>
        <v>0</v>
      </c>
      <c r="X15" s="293">
        <f>IFERROR('Cuenta total'!$R$9,0)</f>
        <v>0</v>
      </c>
      <c r="Y15" s="293">
        <f>IFERROR('Cuenta total'!$R$10,0)</f>
        <v>0</v>
      </c>
      <c r="Z15" s="293">
        <f>IFERROR('Cuenta total'!$R$11,0)</f>
        <v>0</v>
      </c>
      <c r="AA15" s="293">
        <f>IFERROR('Cuenta total'!$R$12,0)</f>
        <v>0</v>
      </c>
      <c r="AB15" s="293">
        <f>IFERROR('Cuenta total'!$R$13,0)</f>
        <v>0</v>
      </c>
      <c r="AC15" s="7"/>
      <c r="AD15" s="7"/>
      <c r="AE15" s="7"/>
      <c r="AF15" s="517"/>
      <c r="AG15" s="517"/>
      <c r="AH15" s="517"/>
      <c r="AI15" s="517"/>
      <c r="AJ15" s="517"/>
      <c r="AK15" s="517"/>
      <c r="AL15" s="86"/>
      <c r="AM15" s="86"/>
      <c r="AN15" s="86"/>
      <c r="AO15" s="86"/>
      <c r="AP15" s="86"/>
      <c r="AQ15" s="86"/>
      <c r="AR15" s="86"/>
      <c r="AS15" s="86"/>
      <c r="AT15" s="86"/>
      <c r="AU15" s="86"/>
    </row>
    <row r="16" spans="1:47" ht="13.5" customHeight="1">
      <c r="A16" s="12" t="s">
        <v>87</v>
      </c>
      <c r="B16" s="467" t="s">
        <v>84</v>
      </c>
      <c r="C16" s="467"/>
      <c r="D16" s="467"/>
      <c r="E16" s="467"/>
      <c r="F16" s="467">
        <f>SUM('Cuenta total'!$R$4:$R$23)</f>
        <v>0</v>
      </c>
      <c r="G16" s="467"/>
      <c r="H16" s="467"/>
      <c r="M16" s="471" t="s">
        <v>86</v>
      </c>
      <c r="N16" s="472"/>
      <c r="O16" s="472"/>
      <c r="P16" s="472"/>
      <c r="Q16" s="472"/>
      <c r="R16" s="473"/>
      <c r="S16" s="293">
        <f>IFERROR('Cuenta total'!$M$4,0)</f>
        <v>0</v>
      </c>
      <c r="T16" s="293">
        <f>IFERROR('Cuenta total'!$M$5,0)</f>
        <v>0</v>
      </c>
      <c r="U16" s="293">
        <f>IFERROR('Cuenta total'!$M$6,0)</f>
        <v>0</v>
      </c>
      <c r="V16" s="293">
        <f>IFERROR('Cuenta total'!$M$7,0)</f>
        <v>0</v>
      </c>
      <c r="W16" s="293">
        <f>IFERROR('Cuenta total'!$M$8,0)</f>
        <v>0</v>
      </c>
      <c r="X16" s="293">
        <f>IFERROR('Cuenta total'!$M$9,0)</f>
        <v>0</v>
      </c>
      <c r="Y16" s="293">
        <f>IFERROR('Cuenta total'!$M$10,0)</f>
        <v>0</v>
      </c>
      <c r="Z16" s="293">
        <f>IFERROR('Cuenta total'!$M$11,0)</f>
        <v>0</v>
      </c>
      <c r="AA16" s="293">
        <f>IFERROR('Cuenta total'!$M$12,0)</f>
        <v>0</v>
      </c>
      <c r="AB16" s="293">
        <f>IFERROR('Cuenta total'!$M$13,0)</f>
        <v>0</v>
      </c>
      <c r="AC16" s="7"/>
      <c r="AD16" s="7"/>
      <c r="AE16" s="7"/>
      <c r="AF16" s="517"/>
      <c r="AG16" s="517"/>
      <c r="AH16" s="517"/>
      <c r="AI16" s="517"/>
      <c r="AJ16" s="517"/>
      <c r="AK16" s="517"/>
      <c r="AL16" s="86"/>
      <c r="AM16" s="86"/>
      <c r="AN16" s="86"/>
      <c r="AO16" s="86"/>
      <c r="AP16" s="86"/>
      <c r="AQ16" s="86"/>
      <c r="AR16" s="86"/>
      <c r="AS16" s="86"/>
      <c r="AT16" s="86"/>
      <c r="AU16" s="86"/>
    </row>
    <row r="17" spans="1:47" ht="13.5" customHeight="1">
      <c r="A17" s="12" t="s">
        <v>89</v>
      </c>
      <c r="B17" s="467" t="s">
        <v>86</v>
      </c>
      <c r="C17" s="467"/>
      <c r="D17" s="467"/>
      <c r="E17" s="467"/>
      <c r="F17" s="467">
        <f>SUM('Cuenta total'!$M$4:$M$23)</f>
        <v>0</v>
      </c>
      <c r="G17" s="467"/>
      <c r="H17" s="467"/>
      <c r="M17" s="481" t="s">
        <v>88</v>
      </c>
      <c r="N17" s="482"/>
      <c r="O17" s="482"/>
      <c r="P17" s="482"/>
      <c r="Q17" s="482"/>
      <c r="R17" s="483"/>
      <c r="S17" s="293">
        <f>IFERROR('Cuenta total'!$N$4,0)</f>
        <v>0</v>
      </c>
      <c r="T17" s="293">
        <f>IFERROR('Cuenta total'!$N$5,0)</f>
        <v>0</v>
      </c>
      <c r="U17" s="293">
        <f>IFERROR('Cuenta total'!$N$6,0)</f>
        <v>0</v>
      </c>
      <c r="V17" s="293">
        <f>IFERROR('Cuenta total'!$N$7,0)</f>
        <v>0</v>
      </c>
      <c r="W17" s="293">
        <f>IFERROR('Cuenta total'!$N$8,0)</f>
        <v>0</v>
      </c>
      <c r="X17" s="293">
        <f>IFERROR('Cuenta total'!$N$9,0)</f>
        <v>0</v>
      </c>
      <c r="Y17" s="293">
        <f>IFERROR('Cuenta total'!$N$10,0)</f>
        <v>0</v>
      </c>
      <c r="Z17" s="293">
        <f>IFERROR('Cuenta total'!$N$11,0)</f>
        <v>0</v>
      </c>
      <c r="AA17" s="293">
        <f>IFERROR('Cuenta total'!$N$12,0)</f>
        <v>0</v>
      </c>
      <c r="AB17" s="293">
        <f>IFERROR('Cuenta total'!$N$13,0)</f>
        <v>0</v>
      </c>
      <c r="AC17" s="7"/>
      <c r="AD17" s="7"/>
      <c r="AE17" s="7"/>
      <c r="AF17" s="89"/>
      <c r="AG17" s="89"/>
      <c r="AH17" s="89"/>
      <c r="AI17" s="89"/>
      <c r="AJ17" s="89"/>
      <c r="AK17" s="89"/>
      <c r="AL17" s="86"/>
      <c r="AM17" s="86"/>
      <c r="AN17" s="86"/>
      <c r="AO17" s="86"/>
      <c r="AP17" s="86"/>
      <c r="AQ17" s="86"/>
      <c r="AR17" s="86"/>
      <c r="AS17" s="86"/>
      <c r="AT17" s="86"/>
      <c r="AU17" s="86"/>
    </row>
    <row r="18" spans="1:47" ht="13.4" customHeight="1">
      <c r="A18" s="12" t="s">
        <v>580</v>
      </c>
      <c r="B18" s="467" t="s">
        <v>579</v>
      </c>
      <c r="C18" s="467"/>
      <c r="D18" s="467"/>
      <c r="E18" s="467"/>
      <c r="F18" s="467">
        <f>SUM('Cuenta total'!$N$4:$N$23)</f>
        <v>0</v>
      </c>
      <c r="G18" s="467"/>
      <c r="H18" s="467"/>
      <c r="M18" s="481" t="s">
        <v>106</v>
      </c>
      <c r="N18" s="482"/>
      <c r="O18" s="482"/>
      <c r="P18" s="482"/>
      <c r="Q18" s="482"/>
      <c r="R18" s="483"/>
      <c r="S18" s="293">
        <f>IFERROR('Cuenta total'!$P$4,0)</f>
        <v>0</v>
      </c>
      <c r="T18" s="293">
        <f>IFERROR('Cuenta total'!$P$5,0)</f>
        <v>0</v>
      </c>
      <c r="U18" s="293">
        <f>IFERROR('Cuenta total'!$P$6,0)</f>
        <v>0</v>
      </c>
      <c r="V18" s="293">
        <f>IFERROR('Cuenta total'!$P$7,0)</f>
        <v>0</v>
      </c>
      <c r="W18" s="293">
        <f>IFERROR('Cuenta total'!$P$8,0)</f>
        <v>0</v>
      </c>
      <c r="X18" s="293">
        <f>IFERROR('Cuenta total'!$P$9,0)</f>
        <v>0</v>
      </c>
      <c r="Y18" s="293">
        <f>IFERROR('Cuenta total'!$P$10,0)</f>
        <v>0</v>
      </c>
      <c r="Z18" s="293">
        <f>IFERROR('Cuenta total'!$P$11,0)</f>
        <v>0</v>
      </c>
      <c r="AA18" s="293">
        <f>IFERROR('Cuenta total'!$P$12,0)</f>
        <v>0</v>
      </c>
      <c r="AB18" s="293">
        <f>IFERROR('Cuenta total'!$P$13,0)</f>
        <v>0</v>
      </c>
      <c r="AC18" s="7"/>
      <c r="AD18" s="7"/>
      <c r="AE18" s="7"/>
      <c r="AF18" s="518"/>
      <c r="AG18" s="518"/>
      <c r="AH18" s="518"/>
      <c r="AI18" s="518"/>
      <c r="AJ18" s="518"/>
      <c r="AK18" s="518"/>
      <c r="AL18" s="72"/>
      <c r="AM18" s="72"/>
      <c r="AN18" s="72"/>
      <c r="AO18" s="72"/>
      <c r="AP18" s="72"/>
      <c r="AQ18" s="72"/>
      <c r="AR18" s="72"/>
      <c r="AS18" s="72"/>
      <c r="AT18" s="72"/>
      <c r="AU18" s="72"/>
    </row>
    <row r="19" spans="1:47" ht="13.5" customHeight="1">
      <c r="A19" s="12" t="s">
        <v>107</v>
      </c>
      <c r="B19" s="467" t="s">
        <v>106</v>
      </c>
      <c r="C19" s="467"/>
      <c r="D19" s="467"/>
      <c r="E19" s="467"/>
      <c r="F19" s="467">
        <f>SUM('Cuenta total'!$P$4:$P$23)</f>
        <v>0</v>
      </c>
      <c r="G19" s="467"/>
      <c r="H19" s="467"/>
      <c r="M19" s="471" t="s">
        <v>90</v>
      </c>
      <c r="N19" s="472"/>
      <c r="O19" s="472"/>
      <c r="P19" s="472"/>
      <c r="Q19" s="472"/>
      <c r="R19" s="473"/>
      <c r="S19" s="293">
        <f>IFERROR('Cuenta total'!$T$4,0)</f>
        <v>0</v>
      </c>
      <c r="T19" s="293">
        <f>IFERROR('Cuenta total'!$T$5,0)</f>
        <v>0</v>
      </c>
      <c r="U19" s="293">
        <f>IFERROR('Cuenta total'!$T$6,0)</f>
        <v>0</v>
      </c>
      <c r="V19" s="293">
        <f>IFERROR('Cuenta total'!$T$7,0)</f>
        <v>0</v>
      </c>
      <c r="W19" s="293">
        <f>IFERROR('Cuenta total'!$T$8,0)</f>
        <v>0</v>
      </c>
      <c r="X19" s="293">
        <f>IFERROR('Cuenta total'!$T$9,0)</f>
        <v>0</v>
      </c>
      <c r="Y19" s="293">
        <f>IFERROR('Cuenta total'!$T$10,0)</f>
        <v>0</v>
      </c>
      <c r="Z19" s="293">
        <f>IFERROR('Cuenta total'!$T$11,0)</f>
        <v>0</v>
      </c>
      <c r="AA19" s="293">
        <f>IFERROR('Cuenta total'!$T$12,0)</f>
        <v>0</v>
      </c>
      <c r="AB19" s="293">
        <f>IFERROR('Cuenta total'!$T$13,0)</f>
        <v>0</v>
      </c>
      <c r="AC19" s="7"/>
      <c r="AD19" s="7"/>
      <c r="AE19" s="7"/>
      <c r="AF19" s="7"/>
      <c r="AG19" s="7"/>
      <c r="AH19" s="7"/>
      <c r="AI19" s="7"/>
      <c r="AJ19" s="7"/>
      <c r="AK19" s="7"/>
      <c r="AL19" s="7"/>
      <c r="AM19" s="7"/>
      <c r="AN19" s="7"/>
      <c r="AO19" s="7"/>
      <c r="AP19" s="7"/>
      <c r="AQ19" s="7"/>
      <c r="AR19" s="7"/>
    </row>
    <row r="20" spans="1:47" ht="13.5" customHeight="1">
      <c r="A20" s="12" t="str">
        <f>IF('Datos de Proyecto'!D37=4.72,"N00023","-")</f>
        <v>N00023</v>
      </c>
      <c r="B20" s="467" t="str">
        <f>IF('Datos de Proyecto'!D37=4.72,"END CAP NOVOTEGRA","-")</f>
        <v>END CAP NOVOTEGRA</v>
      </c>
      <c r="C20" s="467"/>
      <c r="D20" s="467"/>
      <c r="E20" s="467"/>
      <c r="F20" s="467">
        <f>IF('Datos de Proyecto'!D37=4.72,SUM('Cuenta total'!$T$4:$T$23),"")</f>
        <v>0</v>
      </c>
      <c r="G20" s="467"/>
      <c r="H20" s="467"/>
      <c r="M20" s="471" t="s">
        <v>91</v>
      </c>
      <c r="N20" s="472"/>
      <c r="O20" s="472"/>
      <c r="P20" s="472"/>
      <c r="Q20" s="472"/>
      <c r="R20" s="473"/>
      <c r="S20" s="293">
        <f>IFERROR('Cuenta total'!$L$4,0)</f>
        <v>0</v>
      </c>
      <c r="T20" s="293">
        <f>IFERROR('Cuenta total'!$L$5,0)</f>
        <v>0</v>
      </c>
      <c r="U20" s="293">
        <f>IFERROR('Cuenta total'!$L$6,0)</f>
        <v>0</v>
      </c>
      <c r="V20" s="293">
        <f>IFERROR('Cuenta total'!$L$7,0)</f>
        <v>0</v>
      </c>
      <c r="W20" s="293">
        <f>IFERROR('Cuenta total'!$L$8,0)</f>
        <v>0</v>
      </c>
      <c r="X20" s="293">
        <f>IFERROR('Cuenta total'!$L$9,0)</f>
        <v>0</v>
      </c>
      <c r="Y20" s="293">
        <f>IFERROR('Cuenta total'!$L$10,0)</f>
        <v>0</v>
      </c>
      <c r="Z20" s="293">
        <f>IFERROR('Cuenta total'!$L$11,0)</f>
        <v>0</v>
      </c>
      <c r="AA20" s="293">
        <f>IFERROR('Cuenta total'!$L$12,0)</f>
        <v>0</v>
      </c>
      <c r="AB20" s="293">
        <f>IFERROR('Cuenta total'!$L$13,0)</f>
        <v>0</v>
      </c>
    </row>
    <row r="21" spans="1:47" ht="13.5" customHeight="1">
      <c r="A21" s="12" t="s">
        <v>93</v>
      </c>
      <c r="B21" s="467" t="s">
        <v>91</v>
      </c>
      <c r="C21" s="467"/>
      <c r="D21" s="467"/>
      <c r="E21" s="467"/>
      <c r="F21" s="467">
        <f>IF(E4="ERROR:La longitud del riel EO no puede ser mayor a 24m","ERROR",SUM('Cuenta total'!$L$4:$L$23))</f>
        <v>0</v>
      </c>
      <c r="G21" s="467"/>
      <c r="H21" s="467"/>
      <c r="I21" s="97"/>
      <c r="J21" s="97"/>
      <c r="K21" s="97"/>
      <c r="L21" s="97"/>
      <c r="M21" s="471" t="s">
        <v>92</v>
      </c>
      <c r="N21" s="472"/>
      <c r="O21" s="472"/>
      <c r="P21" s="472"/>
      <c r="Q21" s="472"/>
      <c r="R21" s="473"/>
      <c r="S21" s="293">
        <f>IFERROR('Cuenta total'!$S$4,0)</f>
        <v>0</v>
      </c>
      <c r="T21" s="293">
        <f>IFERROR('Cuenta total'!$S$5,0)</f>
        <v>0</v>
      </c>
      <c r="U21" s="293">
        <f>IFERROR('Cuenta total'!$S$6,0)</f>
        <v>0</v>
      </c>
      <c r="V21" s="293">
        <f>IFERROR('Cuenta total'!$S$7,0)</f>
        <v>0</v>
      </c>
      <c r="W21" s="293">
        <f>IFERROR('Cuenta total'!$S$8,0)</f>
        <v>0</v>
      </c>
      <c r="X21" s="293">
        <f>IFERROR('Cuenta total'!$S$9,0)</f>
        <v>0</v>
      </c>
      <c r="Y21" s="293">
        <f>IFERROR('Cuenta total'!$S$10,0)</f>
        <v>0</v>
      </c>
      <c r="Z21" s="293">
        <f>IFERROR('Cuenta total'!$S$11,0)</f>
        <v>0</v>
      </c>
      <c r="AA21" s="293">
        <f>IFERROR('Cuenta total'!$S$12,0)</f>
        <v>0</v>
      </c>
      <c r="AB21" s="293">
        <f>IFERROR('Cuenta total'!$S$13,0)</f>
        <v>0</v>
      </c>
    </row>
    <row r="22" spans="1:47" ht="13.5" customHeight="1">
      <c r="A22" s="12" t="s">
        <v>94</v>
      </c>
      <c r="B22" s="467" t="s">
        <v>574</v>
      </c>
      <c r="C22" s="467"/>
      <c r="D22" s="467"/>
      <c r="E22" s="467"/>
      <c r="F22" s="467">
        <f>SUM('Cuenta total'!$S$4:$S$23)</f>
        <v>0</v>
      </c>
      <c r="G22" s="467"/>
      <c r="H22" s="467"/>
      <c r="I22" s="97"/>
      <c r="J22" s="97"/>
      <c r="K22" s="97"/>
      <c r="L22" s="97"/>
      <c r="M22" s="471" t="str">
        <f>B23</f>
        <v/>
      </c>
      <c r="N22" s="472"/>
      <c r="O22" s="472"/>
      <c r="P22" s="472"/>
      <c r="Q22" s="472"/>
      <c r="R22" s="473"/>
      <c r="S22" s="293" t="str">
        <f>IFERROR('Cuenta total'!$U$4,0)</f>
        <v/>
      </c>
      <c r="T22" s="293" t="str">
        <f>IFERROR('Cuenta total'!$U$5,0)</f>
        <v/>
      </c>
      <c r="U22" s="293" t="str">
        <f>IFERROR('Cuenta total'!$U$6,0)</f>
        <v/>
      </c>
      <c r="V22" s="293" t="str">
        <f>IFERROR('Cuenta total'!$U$7,0)</f>
        <v/>
      </c>
      <c r="W22" s="293" t="str">
        <f>IFERROR('Cuenta total'!$U$8,0)</f>
        <v/>
      </c>
      <c r="X22" s="293" t="str">
        <f>IFERROR('Cuenta total'!$U$9,0)</f>
        <v/>
      </c>
      <c r="Y22" s="293" t="str">
        <f>IFERROR('Cuenta total'!$U$10,0)</f>
        <v/>
      </c>
      <c r="Z22" s="293" t="str">
        <f>IFERROR('Cuenta total'!$U$11,0)</f>
        <v/>
      </c>
      <c r="AA22" s="293" t="str">
        <f>IFERROR('Cuenta total'!$U$12,0)</f>
        <v/>
      </c>
      <c r="AB22" s="293" t="str">
        <f>IFERROR('Cuenta total'!$U$13,0)</f>
        <v/>
      </c>
    </row>
    <row r="23" spans="1:47" ht="13.5" customHeight="1">
      <c r="A23" s="12" t="str" cm="1">
        <f t="array" ref="A23">IFERROR(_xlfn.IFS(B23="NOVOTEGRA M2 CLAMP","N00021",B23="SET JT3-SB-3-8.0x85/50","M00151"),"")</f>
        <v/>
      </c>
      <c r="B23" s="522" t="str" cm="1">
        <f t="array" ref="B23">IFERROR(_xlfn.IFS('Datos de Proyecto'!D32="NOVOTEGRA M2 CLAMP",'Datos de Proyecto'!D32,'Datos de Proyecto'!D32="SET JT3-SB-3-8.0x85/50",'Datos de Proyecto'!D32),"")</f>
        <v/>
      </c>
      <c r="C23" s="522"/>
      <c r="D23" s="522"/>
      <c r="E23" s="522"/>
      <c r="F23" s="467" t="str" cm="1">
        <f t="array" ref="F23">IFERROR(_xlfn.IFS('Datos de Proyecto'!D32="NOVOTEGRA M2 CLAMP",F15,'Datos de Proyecto'!D32="SET JT3-SB-3-8.0x85/50",F15),"")</f>
        <v/>
      </c>
      <c r="G23" s="467"/>
      <c r="H23" s="467"/>
      <c r="M23" s="471">
        <f>IF('Datos de Proyecto'!D32="NOVOTEGRA M2 CLAMP","M8-1.25 X 20MM BOLT",0)</f>
        <v>0</v>
      </c>
      <c r="N23" s="472"/>
      <c r="O23" s="472"/>
      <c r="P23" s="472"/>
      <c r="Q23" s="472"/>
      <c r="R23" s="473"/>
      <c r="S23" s="293">
        <f>IF($M$23="M8-1.25 X 20MM BOLT",S22,0)</f>
        <v>0</v>
      </c>
      <c r="T23" s="293">
        <f t="shared" ref="T23:AB23" si="1">IF($M$23="M8-1.25 X 20MM BOLT",T22,0)</f>
        <v>0</v>
      </c>
      <c r="U23" s="293">
        <f t="shared" si="1"/>
        <v>0</v>
      </c>
      <c r="V23" s="293">
        <f t="shared" si="1"/>
        <v>0</v>
      </c>
      <c r="W23" s="293">
        <f t="shared" si="1"/>
        <v>0</v>
      </c>
      <c r="X23" s="293">
        <f t="shared" si="1"/>
        <v>0</v>
      </c>
      <c r="Y23" s="293">
        <f t="shared" si="1"/>
        <v>0</v>
      </c>
      <c r="Z23" s="293">
        <f t="shared" si="1"/>
        <v>0</v>
      </c>
      <c r="AA23" s="293">
        <f t="shared" si="1"/>
        <v>0</v>
      </c>
      <c r="AB23" s="293">
        <f t="shared" si="1"/>
        <v>0</v>
      </c>
    </row>
    <row r="24" spans="1:47" ht="13.5" customHeight="1">
      <c r="A24" s="12" t="str">
        <f>IF(B24="M8-1.25 X 20MM BOLT","M00165","")</f>
        <v/>
      </c>
      <c r="B24" s="467" t="str" cm="1">
        <f t="array" ref="B24">IFERROR(_xlfn.IFS($B$23="NOVOTEGRA M2 CLAMP","M8-1.25 X 20MM BOLT",$B$23="NOVOTEGRA M1 CLAMP","M8-1.25 X 20MM BOLT"),"")</f>
        <v/>
      </c>
      <c r="C24" s="467"/>
      <c r="D24" s="467"/>
      <c r="E24" s="467"/>
      <c r="F24" s="467">
        <f>IF(B24="M8-1.25 X 20MM BOLT",F23,0)</f>
        <v>0</v>
      </c>
      <c r="G24" s="467"/>
      <c r="H24" s="467"/>
    </row>
    <row r="25" spans="1:47" ht="13.5" customHeight="1">
      <c r="A25" s="521" t="s">
        <v>108</v>
      </c>
      <c r="B25" s="521"/>
      <c r="C25" s="521"/>
      <c r="D25" s="521"/>
      <c r="E25" s="521"/>
      <c r="F25" s="521"/>
      <c r="G25" s="521"/>
      <c r="H25" s="521"/>
      <c r="M25" s="504" t="s">
        <v>100</v>
      </c>
      <c r="N25" s="504"/>
      <c r="O25" s="504"/>
      <c r="P25" s="504"/>
      <c r="Q25" s="504"/>
      <c r="R25" s="504"/>
      <c r="S25" s="504"/>
      <c r="T25" s="504"/>
      <c r="U25" s="504"/>
      <c r="V25" s="504"/>
      <c r="W25" s="504"/>
      <c r="X25" s="504"/>
      <c r="Y25" s="504"/>
      <c r="Z25" s="504"/>
      <c r="AA25" s="504"/>
      <c r="AB25" s="504"/>
    </row>
    <row r="26" spans="1:47" ht="13.5" customHeight="1">
      <c r="A26" s="521"/>
      <c r="B26" s="521"/>
      <c r="C26" s="521"/>
      <c r="D26" s="521"/>
      <c r="E26" s="521"/>
      <c r="F26" s="521"/>
      <c r="G26" s="521"/>
      <c r="H26" s="521"/>
      <c r="M26" s="505" t="s">
        <v>73</v>
      </c>
      <c r="N26" s="505"/>
      <c r="O26" s="505"/>
      <c r="P26" s="505"/>
      <c r="Q26" s="505"/>
      <c r="R26" s="505"/>
      <c r="S26" s="391">
        <v>11</v>
      </c>
      <c r="T26" s="391">
        <v>12</v>
      </c>
      <c r="U26" s="391">
        <v>13</v>
      </c>
      <c r="V26" s="391">
        <v>14</v>
      </c>
      <c r="W26" s="391">
        <v>15</v>
      </c>
      <c r="X26" s="391">
        <v>16</v>
      </c>
      <c r="Y26" s="391">
        <v>17</v>
      </c>
      <c r="Z26" s="391">
        <v>18</v>
      </c>
      <c r="AA26" s="391">
        <v>19</v>
      </c>
      <c r="AB26" s="391">
        <v>20</v>
      </c>
    </row>
    <row r="27" spans="1:47" ht="13.5" customHeight="1">
      <c r="A27" s="103" t="s">
        <v>109</v>
      </c>
      <c r="B27" s="489" t="s">
        <v>110</v>
      </c>
      <c r="C27" s="489"/>
      <c r="D27" s="489"/>
      <c r="E27" s="11" t="s">
        <v>111</v>
      </c>
      <c r="F27" s="489" t="s">
        <v>83</v>
      </c>
      <c r="G27" s="489"/>
      <c r="H27" s="489"/>
      <c r="M27" s="505" t="s">
        <v>53</v>
      </c>
      <c r="N27" s="505"/>
      <c r="O27" s="505"/>
      <c r="P27" s="505"/>
      <c r="Q27" s="505"/>
      <c r="R27" s="505"/>
      <c r="S27" s="392">
        <f>'Datos de Proyecto'!K31</f>
        <v>0</v>
      </c>
      <c r="T27" s="392">
        <f>'Datos de Proyecto'!K32</f>
        <v>0</v>
      </c>
      <c r="U27" s="392">
        <f>'Datos de Proyecto'!K33</f>
        <v>0</v>
      </c>
      <c r="V27" s="392">
        <f>'Datos de Proyecto'!K34</f>
        <v>0</v>
      </c>
      <c r="W27" s="392">
        <f>'Datos de Proyecto'!K35</f>
        <v>0</v>
      </c>
      <c r="X27" s="392">
        <f>'Datos de Proyecto'!K36</f>
        <v>0</v>
      </c>
      <c r="Y27" s="392">
        <f>'Datos de Proyecto'!K37</f>
        <v>0</v>
      </c>
      <c r="Z27" s="392">
        <f>'Datos de Proyecto'!K38</f>
        <v>0</v>
      </c>
      <c r="AA27" s="392">
        <f>'Datos de Proyecto'!K39</f>
        <v>0</v>
      </c>
      <c r="AB27" s="392">
        <f>'Datos de Proyecto'!K40</f>
        <v>0</v>
      </c>
    </row>
    <row r="28" spans="1:47" ht="13.5" customHeight="1">
      <c r="A28" s="48" t="s">
        <v>112</v>
      </c>
      <c r="B28" s="496" t="s">
        <v>113</v>
      </c>
      <c r="C28" s="496"/>
      <c r="D28" s="496"/>
      <c r="E28" s="165">
        <f>(SIN((('Datos de Proyecto'!$D$34*PI()))/180)*E29)+'Datos de Proyecto'!D33+(SIN((90*PI()/180)-('Datos de Proyecto'!D34*PI()/180))*'Datos de Proyecto'!D27/1000)+(SIN(RADIANS((90)-('Datos de Proyecto'!D34)-DEGREES(ATAN(((E29-E30)/2)/0.1))))*(SQRT((((E29-E30)/2)^2)+(0.1^2))))</f>
        <v>0.13500000000000001</v>
      </c>
      <c r="F28" s="519" t="s">
        <v>114</v>
      </c>
      <c r="G28" s="519"/>
      <c r="H28" s="519"/>
      <c r="M28" s="505" t="s">
        <v>76</v>
      </c>
      <c r="N28" s="505"/>
      <c r="O28" s="505"/>
      <c r="P28" s="505"/>
      <c r="Q28" s="505"/>
      <c r="R28" s="505"/>
      <c r="S28" s="293">
        <f>'Datos de Proyecto'!J31</f>
        <v>0</v>
      </c>
      <c r="T28" s="293">
        <f>'Datos de Proyecto'!J32</f>
        <v>0</v>
      </c>
      <c r="U28" s="293">
        <f>'Datos de Proyecto'!J33</f>
        <v>0</v>
      </c>
      <c r="V28" s="293">
        <f>'Datos de Proyecto'!J34</f>
        <v>0</v>
      </c>
      <c r="W28" s="293">
        <f>'Datos de Proyecto'!J35</f>
        <v>0</v>
      </c>
      <c r="X28" s="293">
        <f>'Datos de Proyecto'!J36</f>
        <v>0</v>
      </c>
      <c r="Y28" s="293">
        <f>'Datos de Proyecto'!J37</f>
        <v>0</v>
      </c>
      <c r="Z28" s="293">
        <f>'Datos de Proyecto'!J38</f>
        <v>0</v>
      </c>
      <c r="AA28" s="293">
        <f>'Datos de Proyecto'!J39</f>
        <v>0</v>
      </c>
      <c r="AB28" s="293">
        <f>'Datos de Proyecto'!J40</f>
        <v>0</v>
      </c>
    </row>
    <row r="29" spans="1:47" ht="13.5" customHeight="1">
      <c r="A29" s="48" t="s">
        <v>115</v>
      </c>
      <c r="B29" s="512" t="s">
        <v>116</v>
      </c>
      <c r="C29" s="512"/>
      <c r="D29" s="512"/>
      <c r="E29" s="100">
        <f>IF('Datos de Proyecto'!J19="Vertical",'Datos de Proyecto'!D25,'Datos de Proyecto'!D26)</f>
        <v>2.3839999999999999</v>
      </c>
      <c r="F29" s="511" t="s">
        <v>114</v>
      </c>
      <c r="G29" s="511"/>
      <c r="H29" s="511"/>
      <c r="M29" s="505" t="s">
        <v>97</v>
      </c>
      <c r="N29" s="505"/>
      <c r="O29" s="505"/>
      <c r="P29" s="505"/>
      <c r="Q29" s="505"/>
      <c r="R29" s="505"/>
      <c r="S29" s="293">
        <f>S36/2</f>
        <v>0</v>
      </c>
      <c r="T29" s="293">
        <f t="shared" ref="T29:AB29" si="2">T36/2</f>
        <v>0</v>
      </c>
      <c r="U29" s="293">
        <f t="shared" si="2"/>
        <v>0</v>
      </c>
      <c r="V29" s="293">
        <f t="shared" si="2"/>
        <v>0</v>
      </c>
      <c r="W29" s="293">
        <f t="shared" si="2"/>
        <v>0</v>
      </c>
      <c r="X29" s="293">
        <f t="shared" si="2"/>
        <v>0</v>
      </c>
      <c r="Y29" s="293">
        <f t="shared" si="2"/>
        <v>0</v>
      </c>
      <c r="Z29" s="293">
        <f t="shared" si="2"/>
        <v>0</v>
      </c>
      <c r="AA29" s="293">
        <f t="shared" si="2"/>
        <v>0</v>
      </c>
      <c r="AB29" s="293">
        <f t="shared" si="2"/>
        <v>0</v>
      </c>
    </row>
    <row r="30" spans="1:47" ht="13.5" customHeight="1">
      <c r="A30" s="48" t="s">
        <v>117</v>
      </c>
      <c r="B30" s="512" t="s">
        <v>118</v>
      </c>
      <c r="C30" s="512"/>
      <c r="D30" s="512"/>
      <c r="E30" s="100">
        <f>IF('Velocidades de viento'!M23="TRUE","ERROR",E29*0.9)</f>
        <v>2.1456</v>
      </c>
      <c r="F30" s="511">
        <f>$F$15/2</f>
        <v>0</v>
      </c>
      <c r="G30" s="511"/>
      <c r="H30" s="511"/>
      <c r="M30" s="505" t="s">
        <v>582</v>
      </c>
      <c r="N30" s="505"/>
      <c r="O30" s="505"/>
      <c r="P30" s="505"/>
      <c r="Q30" s="505"/>
      <c r="R30" s="505"/>
      <c r="S30" s="393">
        <f>IF('Calculo de Span'!L18="Error","ERROR",'Calculo de Span'!$K$18)</f>
        <v>0</v>
      </c>
      <c r="T30" s="393">
        <f>IF('Calculo de Span'!L19="Error","ERROR",'Calculo de Span'!$K$19)</f>
        <v>0</v>
      </c>
      <c r="U30" s="393">
        <f>IF('Calculo de Span'!L20="Error","ERROR",'Calculo de Span'!$K$20)</f>
        <v>0</v>
      </c>
      <c r="V30" s="393">
        <f>IF('Calculo de Span'!L21="Error","ERROR",'Calculo de Span'!$K$21)</f>
        <v>0</v>
      </c>
      <c r="W30" s="393">
        <f>IF('Calculo de Span'!L22="Error","ERROR",'Calculo de Span'!$K$22)</f>
        <v>0</v>
      </c>
      <c r="X30" s="393">
        <f>IF('Calculo de Span'!L23="Error","ERROR",'Calculo de Span'!$K$23)</f>
        <v>0</v>
      </c>
      <c r="Y30" s="393">
        <f>IF('Calculo de Span'!L24="Error","ERROR",'Calculo de Span'!$K$24)</f>
        <v>0</v>
      </c>
      <c r="Z30" s="393">
        <f>IF('Calculo de Span'!L25="Error","ERROR",'Calculo de Span'!$K$25)</f>
        <v>0</v>
      </c>
      <c r="AA30" s="393">
        <f>IF('Calculo de Span'!L26="Error","ERROR",'Calculo de Span'!$K$26)</f>
        <v>0</v>
      </c>
      <c r="AB30" s="393">
        <f>IF('Calculo de Span'!L27="Error","ERROR",'Calculo de Span'!$K$27)</f>
        <v>0</v>
      </c>
      <c r="AC30" s="7"/>
      <c r="AD30" s="7"/>
      <c r="AE30" s="7"/>
      <c r="AF30" s="7"/>
      <c r="AG30" s="7"/>
      <c r="AH30" s="7"/>
      <c r="AI30" s="7"/>
      <c r="AJ30" s="7"/>
      <c r="AK30" s="7"/>
      <c r="AL30" s="7"/>
      <c r="AM30" s="7"/>
      <c r="AN30" s="7"/>
      <c r="AO30" s="7"/>
      <c r="AP30" s="7"/>
      <c r="AQ30" s="7"/>
      <c r="AR30" s="7"/>
    </row>
    <row r="31" spans="1:47" ht="13.5" customHeight="1">
      <c r="A31" s="48" t="s">
        <v>119</v>
      </c>
      <c r="B31" s="512" t="s">
        <v>120</v>
      </c>
      <c r="C31" s="512"/>
      <c r="D31" s="512"/>
      <c r="E31" s="100">
        <f>IF(E32&gt;0,'Formula de apoyo'!V6*E30+E32/COS(E38*PI()/180),'Formula de apoyo'!V6*E30)</f>
        <v>0</v>
      </c>
      <c r="F31" s="511">
        <f>$F$15/2</f>
        <v>0</v>
      </c>
      <c r="G31" s="511"/>
      <c r="H31" s="511"/>
      <c r="M31" s="505" t="s">
        <v>584</v>
      </c>
      <c r="N31" s="505"/>
      <c r="O31" s="505"/>
      <c r="P31" s="505"/>
      <c r="Q31" s="505"/>
      <c r="R31" s="505"/>
      <c r="S31" s="393">
        <f>+'Formula de apoyo'!$C$15</f>
        <v>0</v>
      </c>
      <c r="T31" s="393">
        <f>+'Formula de apoyo'!$C$16</f>
        <v>0</v>
      </c>
      <c r="U31" s="393">
        <f>+'Formula de apoyo'!$C$17</f>
        <v>0</v>
      </c>
      <c r="V31" s="393">
        <f>+'Formula de apoyo'!$C$18</f>
        <v>0</v>
      </c>
      <c r="W31" s="393">
        <f>+'Formula de apoyo'!$C$19</f>
        <v>0</v>
      </c>
      <c r="X31" s="393">
        <f>+'Formula de apoyo'!$C$20</f>
        <v>0</v>
      </c>
      <c r="Y31" s="393">
        <f>+'Formula de apoyo'!$C$21</f>
        <v>0</v>
      </c>
      <c r="Z31" s="393">
        <f>+'Formula de apoyo'!$C$22</f>
        <v>0</v>
      </c>
      <c r="AA31" s="393">
        <f>+'Formula de apoyo'!$C$23</f>
        <v>0</v>
      </c>
      <c r="AB31" s="393">
        <f>+'Formula de apoyo'!$C$24</f>
        <v>0</v>
      </c>
      <c r="AC31" s="7"/>
      <c r="AD31" s="7"/>
      <c r="AE31" s="7"/>
      <c r="AF31" s="7"/>
      <c r="AG31" s="7"/>
      <c r="AH31" s="7"/>
      <c r="AI31" s="7"/>
      <c r="AJ31" s="7"/>
      <c r="AK31" s="7"/>
      <c r="AL31" s="7"/>
      <c r="AM31" s="7"/>
      <c r="AN31" s="7"/>
      <c r="AO31" s="7"/>
      <c r="AP31" s="7"/>
      <c r="AQ31" s="7"/>
      <c r="AR31" s="7"/>
    </row>
    <row r="32" spans="1:47" ht="13.5" customHeight="1">
      <c r="A32" s="48" t="s">
        <v>121</v>
      </c>
      <c r="B32" s="512" t="s">
        <v>122</v>
      </c>
      <c r="C32" s="512"/>
      <c r="D32" s="512"/>
      <c r="E32" s="100">
        <f>IF('Datos de Proyecto'!D33&gt;0,'Datos de Proyecto'!D33,0)</f>
        <v>0</v>
      </c>
      <c r="F32" s="511">
        <f>IF('Datos de Proyecto'!D33&gt;0,F30,0)</f>
        <v>0</v>
      </c>
      <c r="G32" s="511"/>
      <c r="H32" s="511"/>
      <c r="M32" s="505" t="s">
        <v>585</v>
      </c>
      <c r="N32" s="505"/>
      <c r="O32" s="505"/>
      <c r="P32" s="505"/>
      <c r="Q32" s="505"/>
      <c r="R32" s="505"/>
      <c r="S32" s="393">
        <f>+'Formula de apoyo'!$D$15</f>
        <v>0</v>
      </c>
      <c r="T32" s="393">
        <f>+'Formula de apoyo'!$D$16</f>
        <v>0</v>
      </c>
      <c r="U32" s="393">
        <f>+'Formula de apoyo'!$D$17</f>
        <v>0</v>
      </c>
      <c r="V32" s="393">
        <f>+'Formula de apoyo'!$D$18</f>
        <v>0</v>
      </c>
      <c r="W32" s="393">
        <f>+'Formula de apoyo'!$D$19</f>
        <v>0</v>
      </c>
      <c r="X32" s="393">
        <f>+'Formula de apoyo'!$D$20</f>
        <v>0</v>
      </c>
      <c r="Y32" s="393">
        <f>+'Formula de apoyo'!$D$21</f>
        <v>0</v>
      </c>
      <c r="Z32" s="393">
        <f>+'Formula de apoyo'!$D$22</f>
        <v>0</v>
      </c>
      <c r="AA32" s="393">
        <f>+'Formula de apoyo'!$D$23</f>
        <v>0</v>
      </c>
      <c r="AB32" s="393">
        <f>+'Formula de apoyo'!$D$24</f>
        <v>0</v>
      </c>
      <c r="AC32" s="7"/>
      <c r="AD32" s="7"/>
      <c r="AE32" s="7"/>
      <c r="AF32" s="7"/>
      <c r="AG32" s="7"/>
      <c r="AH32" s="7"/>
      <c r="AI32" s="7"/>
      <c r="AJ32" s="7"/>
      <c r="AK32" s="7"/>
      <c r="AL32" s="7"/>
      <c r="AM32" s="7"/>
      <c r="AN32" s="7"/>
      <c r="AO32" s="7"/>
      <c r="AP32" s="7"/>
      <c r="AQ32" s="7"/>
      <c r="AR32" s="7"/>
    </row>
    <row r="33" spans="1:44" ht="13.5" customHeight="1">
      <c r="A33" s="48" t="s">
        <v>123</v>
      </c>
      <c r="B33" s="512" t="s">
        <v>102</v>
      </c>
      <c r="C33" s="512"/>
      <c r="D33" s="512"/>
      <c r="E33" s="100" t="s">
        <v>114</v>
      </c>
      <c r="F33" s="511" t="str">
        <f>IF(E32=0,"",'Cuenta total'!$V$24)</f>
        <v/>
      </c>
      <c r="G33" s="511"/>
      <c r="H33" s="511"/>
      <c r="M33" s="480" t="s">
        <v>587</v>
      </c>
      <c r="N33" s="480"/>
      <c r="O33" s="480"/>
      <c r="P33" s="480"/>
      <c r="Q33" s="480"/>
      <c r="R33" s="480"/>
      <c r="S33" s="293">
        <f>'Formula de apoyo'!A15*S28</f>
        <v>0</v>
      </c>
      <c r="T33" s="293">
        <f>'Formula de apoyo'!A16*T28</f>
        <v>0</v>
      </c>
      <c r="U33" s="293">
        <f>'Formula de apoyo'!A17*U28</f>
        <v>0</v>
      </c>
      <c r="V33" s="293">
        <f>'Formula de apoyo'!A18*V28</f>
        <v>0</v>
      </c>
      <c r="W33" s="293">
        <f>'Formula de apoyo'!A19*W28</f>
        <v>0</v>
      </c>
      <c r="X33" s="293">
        <f>'Formula de apoyo'!A20*X28</f>
        <v>0</v>
      </c>
      <c r="Y33" s="293">
        <f>'Formula de apoyo'!A21*Y28</f>
        <v>0</v>
      </c>
      <c r="Z33" s="293">
        <f>'Formula de apoyo'!A22*Z28</f>
        <v>0</v>
      </c>
      <c r="AA33" s="293">
        <f>'Formula de apoyo'!A23*AA28</f>
        <v>0</v>
      </c>
      <c r="AB33" s="293">
        <f>'Formula de apoyo'!A24*AB28</f>
        <v>0</v>
      </c>
      <c r="AC33" s="7"/>
      <c r="AD33" s="7"/>
      <c r="AE33" s="7"/>
      <c r="AF33" s="7"/>
      <c r="AG33" s="7"/>
      <c r="AH33" s="7"/>
      <c r="AI33" s="7"/>
      <c r="AJ33" s="7"/>
      <c r="AK33" s="7"/>
      <c r="AL33" s="7"/>
      <c r="AM33" s="7"/>
      <c r="AN33" s="7"/>
      <c r="AO33" s="7"/>
      <c r="AP33" s="7"/>
      <c r="AQ33" s="7"/>
      <c r="AR33" s="7"/>
    </row>
    <row r="34" spans="1:44" ht="13.5" customHeight="1" thickBot="1">
      <c r="A34" s="48" t="s">
        <v>124</v>
      </c>
      <c r="B34" s="512" t="s">
        <v>103</v>
      </c>
      <c r="C34" s="512"/>
      <c r="D34" s="512"/>
      <c r="E34" s="100" t="s">
        <v>114</v>
      </c>
      <c r="F34" s="511">
        <f>IF(E33=0,"",'Cuenta total'!$V$24)</f>
        <v>0</v>
      </c>
      <c r="G34" s="511"/>
      <c r="H34" s="511"/>
      <c r="M34" s="503" t="s">
        <v>79</v>
      </c>
      <c r="N34" s="503"/>
      <c r="O34" s="503"/>
      <c r="P34" s="503"/>
      <c r="Q34" s="503"/>
      <c r="R34" s="503"/>
      <c r="S34" s="394">
        <f>IF('Datos de Proyecto'!J31&lt;&gt;0,VLOOKUP('Datos de Proyecto'!K31,'Calculo de Span'!$A$8:$J$27,9,FALSE),0)</f>
        <v>0</v>
      </c>
      <c r="T34" s="394">
        <f>IF('Datos de Proyecto'!J32&lt;&gt;0,VLOOKUP('Datos de Proyecto'!K32,'Calculo de Span'!$A$8:$J$27,9,FALSE),0)</f>
        <v>0</v>
      </c>
      <c r="U34" s="394">
        <f>IF('Datos de Proyecto'!J33&lt;&gt;0,VLOOKUP('Datos de Proyecto'!K33,'Calculo de Span'!$A$8:$J$27,9,FALSE),0)</f>
        <v>0</v>
      </c>
      <c r="V34" s="394">
        <f>IF('Datos de Proyecto'!J34&lt;&gt;0,VLOOKUP('Datos de Proyecto'!K34,'Calculo de Span'!$A$8:$J$27,9,FALSE),0)</f>
        <v>0</v>
      </c>
      <c r="W34" s="394">
        <f>IF('Datos de Proyecto'!J35&lt;&gt;0,VLOOKUP('Datos de Proyecto'!K35,'Calculo de Span'!$A$8:$J$27,9,FALSE),0)</f>
        <v>0</v>
      </c>
      <c r="X34" s="394">
        <f>IF('Datos de Proyecto'!J36&lt;&gt;0,VLOOKUP('Datos de Proyecto'!K36,'Calculo de Span'!$A$8:$J$27,9,FALSE),0)</f>
        <v>0</v>
      </c>
      <c r="Y34" s="394">
        <f>IF('Datos de Proyecto'!J37&lt;&gt;0,VLOOKUP('Datos de Proyecto'!K37,'Calculo de Span'!$A$8:$J$27,9,FALSE),0)</f>
        <v>0</v>
      </c>
      <c r="Z34" s="394">
        <f>IF('Datos de Proyecto'!J38&lt;&gt;0,VLOOKUP('Datos de Proyecto'!K38,'Calculo de Span'!$A$8:$J$27,9,FALSE),0)</f>
        <v>0</v>
      </c>
      <c r="AA34" s="394">
        <f>IF('Datos de Proyecto'!J39&lt;&gt;0,VLOOKUP('Datos de Proyecto'!K39,'Calculo de Span'!$A$8:$J$27,9,FALSE),0)</f>
        <v>0</v>
      </c>
      <c r="AB34" s="394">
        <f>IF('Datos de Proyecto'!J40&lt;&gt;0,VLOOKUP('Datos de Proyecto'!K40,'Calculo de Span'!$A$8:$J$27,9,FALSE),0)</f>
        <v>0</v>
      </c>
      <c r="AC34" s="7"/>
      <c r="AD34" s="7"/>
      <c r="AE34" s="7"/>
      <c r="AF34" s="7"/>
      <c r="AG34" s="7"/>
      <c r="AH34" s="7"/>
      <c r="AI34" s="7"/>
      <c r="AJ34" s="7"/>
      <c r="AK34" s="7"/>
      <c r="AL34" s="7"/>
      <c r="AM34" s="7"/>
      <c r="AN34" s="7"/>
      <c r="AO34" s="7"/>
      <c r="AP34" s="7"/>
      <c r="AQ34" s="7"/>
      <c r="AR34" s="7"/>
    </row>
    <row r="35" spans="1:44" ht="13.5" customHeight="1" thickTop="1">
      <c r="A35" s="48" t="s">
        <v>125</v>
      </c>
      <c r="B35" s="512" t="s">
        <v>126</v>
      </c>
      <c r="C35" s="512"/>
      <c r="D35" s="512"/>
      <c r="E35" s="100">
        <f>IF('Datos de Proyecto'!D33&gt;0,SQRT(((E32+0.035)/TAN((90-ATAN((E30-2*0.025*COS(E38*PI()/180))/(E31+0.025))*180/PI()-E38)*PI()/180))^2+(E32-0.2)^2),0)*0.96</f>
        <v>0</v>
      </c>
      <c r="F35" s="511" t="str">
        <f>IF(E35=0,"",'Cuenta total'!$W$24)</f>
        <v/>
      </c>
      <c r="G35" s="511"/>
      <c r="H35" s="511"/>
      <c r="M35" s="506" t="s">
        <v>104</v>
      </c>
      <c r="N35" s="507"/>
      <c r="O35" s="507"/>
      <c r="P35" s="507"/>
      <c r="Q35" s="507"/>
      <c r="R35" s="508"/>
      <c r="S35" s="98">
        <f>IFERROR('Cuenta total'!$O$14,0)</f>
        <v>0</v>
      </c>
      <c r="T35" s="98">
        <f>IFERROR('Cuenta total'!$O$15,0)</f>
        <v>0</v>
      </c>
      <c r="U35" s="98">
        <f>IFERROR('Cuenta total'!$O$16,0)</f>
        <v>0</v>
      </c>
      <c r="V35" s="98">
        <f>IFERROR('Cuenta total'!$O$17,0)</f>
        <v>0</v>
      </c>
      <c r="W35" s="98">
        <f>IFERROR('Cuenta total'!$O$18,0)</f>
        <v>0</v>
      </c>
      <c r="X35" s="98">
        <f>IFERROR('Cuenta total'!$O$19,0)</f>
        <v>0</v>
      </c>
      <c r="Y35" s="98">
        <f>IFERROR('Cuenta total'!$O$20,0)</f>
        <v>0</v>
      </c>
      <c r="Z35" s="98">
        <f>IFERROR('Cuenta total'!$O$21,0)</f>
        <v>0</v>
      </c>
      <c r="AA35" s="98">
        <f>IFERROR('Cuenta total'!$O$22,0)</f>
        <v>0</v>
      </c>
      <c r="AB35" s="98">
        <f>IFERROR('Cuenta total'!$O$23,0)</f>
        <v>0</v>
      </c>
      <c r="AC35" s="7"/>
      <c r="AD35" s="7"/>
      <c r="AE35" s="7"/>
      <c r="AF35" s="7"/>
      <c r="AG35" s="7"/>
      <c r="AH35" s="7"/>
      <c r="AI35" s="7"/>
      <c r="AJ35" s="7"/>
      <c r="AK35" s="7"/>
      <c r="AL35" s="7"/>
      <c r="AM35" s="7"/>
      <c r="AN35" s="7"/>
      <c r="AO35" s="7"/>
      <c r="AP35" s="7"/>
      <c r="AQ35" s="7"/>
      <c r="AR35" s="7"/>
    </row>
    <row r="36" spans="1:44" ht="13.5" customHeight="1">
      <c r="A36" s="48" t="s">
        <v>127</v>
      </c>
      <c r="B36" s="512" t="s">
        <v>128</v>
      </c>
      <c r="C36" s="512"/>
      <c r="D36" s="512"/>
      <c r="E36" s="100">
        <f>'Formula de apoyo'!Y5</f>
        <v>1.8524999999999998</v>
      </c>
      <c r="F36" s="511" t="s">
        <v>114</v>
      </c>
      <c r="G36" s="511"/>
      <c r="H36" s="511"/>
      <c r="M36" s="471" t="s">
        <v>80</v>
      </c>
      <c r="N36" s="472"/>
      <c r="O36" s="472"/>
      <c r="P36" s="472"/>
      <c r="Q36" s="472"/>
      <c r="R36" s="473"/>
      <c r="S36" s="81">
        <f>IFERROR('Cuenta total'!$Q$14,0)</f>
        <v>0</v>
      </c>
      <c r="T36" s="81">
        <f>IFERROR('Cuenta total'!$Q$15,0)</f>
        <v>0</v>
      </c>
      <c r="U36" s="81">
        <f>IFERROR('Cuenta total'!$Q$16,0)</f>
        <v>0</v>
      </c>
      <c r="V36" s="81">
        <f>IFERROR('Cuenta total'!$Q$17,0)</f>
        <v>0</v>
      </c>
      <c r="W36" s="81">
        <f>IFERROR('Cuenta total'!$Q$18,0)</f>
        <v>0</v>
      </c>
      <c r="X36" s="81">
        <f>IFERROR('Cuenta total'!$Q$19,0)</f>
        <v>0</v>
      </c>
      <c r="Y36" s="81">
        <f>IFERROR('Cuenta total'!$Q$20,0)</f>
        <v>0</v>
      </c>
      <c r="Z36" s="81">
        <f>IFERROR('Cuenta total'!$Q$21,0)</f>
        <v>0</v>
      </c>
      <c r="AA36" s="81">
        <f>IFERROR('Cuenta total'!$Q$22,0)</f>
        <v>0</v>
      </c>
      <c r="AB36" s="81">
        <f>IFERROR('Cuenta total'!$Q$23,0)</f>
        <v>0</v>
      </c>
      <c r="AC36" s="7"/>
      <c r="AD36" s="7"/>
      <c r="AE36" s="7"/>
      <c r="AF36" s="7"/>
      <c r="AG36" s="7"/>
      <c r="AH36" s="7"/>
      <c r="AI36" s="7"/>
      <c r="AJ36" s="7"/>
      <c r="AK36" s="7"/>
      <c r="AL36" s="7"/>
      <c r="AM36" s="7"/>
      <c r="AN36" s="7"/>
      <c r="AO36" s="7"/>
      <c r="AP36" s="7"/>
      <c r="AQ36" s="7"/>
      <c r="AR36" s="7"/>
    </row>
    <row r="37" spans="1:44" ht="13.5" customHeight="1">
      <c r="A37" s="48" t="s">
        <v>129</v>
      </c>
      <c r="B37" s="512" t="s">
        <v>130</v>
      </c>
      <c r="C37" s="512"/>
      <c r="D37" s="512"/>
      <c r="E37" s="100">
        <f>SQRT(((E30-0.07)^2+E31^2)-E32^2)</f>
        <v>2.0756000000000001</v>
      </c>
      <c r="F37" s="511" t="s">
        <v>114</v>
      </c>
      <c r="G37" s="511"/>
      <c r="H37" s="511"/>
      <c r="I37" s="102"/>
      <c r="J37" s="102"/>
      <c r="K37" s="102"/>
      <c r="L37" s="102"/>
      <c r="M37" s="481" t="s">
        <v>84</v>
      </c>
      <c r="N37" s="482"/>
      <c r="O37" s="482"/>
      <c r="P37" s="482"/>
      <c r="Q37" s="482"/>
      <c r="R37" s="483"/>
      <c r="S37" s="81">
        <f>IFERROR('Cuenta total'!$R$14,0)</f>
        <v>0</v>
      </c>
      <c r="T37" s="81">
        <f>IFERROR('Cuenta total'!$R$15,0)</f>
        <v>0</v>
      </c>
      <c r="U37" s="81">
        <f>IFERROR('Cuenta total'!$R$16,0)</f>
        <v>0</v>
      </c>
      <c r="V37" s="81">
        <f>IFERROR('Cuenta total'!$R$17,0)</f>
        <v>0</v>
      </c>
      <c r="W37" s="81">
        <f>IFERROR('Cuenta total'!$R$18,0)</f>
        <v>0</v>
      </c>
      <c r="X37" s="81">
        <f>IFERROR('Cuenta total'!$R$19,0)</f>
        <v>0</v>
      </c>
      <c r="Y37" s="81">
        <f>IFERROR('Cuenta total'!$R$20,0)</f>
        <v>0</v>
      </c>
      <c r="Z37" s="81">
        <f>IFERROR('Cuenta total'!$R$21,0)</f>
        <v>0</v>
      </c>
      <c r="AA37" s="81">
        <f>IFERROR('Cuenta total'!$R$22,0)</f>
        <v>0</v>
      </c>
      <c r="AB37" s="81">
        <f>IFERROR('Cuenta total'!$R$23,0)</f>
        <v>0</v>
      </c>
      <c r="AC37" s="7"/>
      <c r="AD37" s="7"/>
      <c r="AE37" s="7"/>
      <c r="AF37" s="7"/>
      <c r="AG37" s="7"/>
      <c r="AH37" s="7"/>
      <c r="AI37" s="7"/>
      <c r="AJ37" s="7"/>
      <c r="AK37" s="7"/>
      <c r="AL37" s="7"/>
      <c r="AM37" s="7"/>
      <c r="AN37" s="7"/>
      <c r="AO37" s="7"/>
      <c r="AP37" s="7"/>
      <c r="AQ37" s="7"/>
      <c r="AR37" s="7"/>
    </row>
    <row r="38" spans="1:44" ht="13.5" customHeight="1">
      <c r="A38" s="48" t="s">
        <v>131</v>
      </c>
      <c r="B38" s="512" t="s">
        <v>132</v>
      </c>
      <c r="C38" s="512"/>
      <c r="D38" s="512"/>
      <c r="E38" s="101">
        <f>IF('Velocidades de viento'!M23="TRUE","ERROR",'Datos de Proyecto'!D34)</f>
        <v>0</v>
      </c>
      <c r="F38" s="511" t="s">
        <v>114</v>
      </c>
      <c r="G38" s="511"/>
      <c r="H38" s="511"/>
      <c r="M38" s="471" t="s">
        <v>86</v>
      </c>
      <c r="N38" s="472"/>
      <c r="O38" s="472"/>
      <c r="P38" s="472"/>
      <c r="Q38" s="472"/>
      <c r="R38" s="473"/>
      <c r="S38" s="81">
        <f>IFERROR('Cuenta total'!$M$14,0)</f>
        <v>0</v>
      </c>
      <c r="T38" s="81">
        <f>IFERROR('Cuenta total'!$M$15,0)</f>
        <v>0</v>
      </c>
      <c r="U38" s="81">
        <f>IFERROR('Cuenta total'!$M$16,0)</f>
        <v>0</v>
      </c>
      <c r="V38" s="81">
        <f>IFERROR('Cuenta total'!$M$17,0)</f>
        <v>0</v>
      </c>
      <c r="W38" s="81">
        <f>IFERROR('Cuenta total'!$M$18,0)</f>
        <v>0</v>
      </c>
      <c r="X38" s="81">
        <f>IFERROR('Cuenta total'!$M$19,0)</f>
        <v>0</v>
      </c>
      <c r="Y38" s="81">
        <f>IFERROR('Cuenta total'!$M$20,0)</f>
        <v>0</v>
      </c>
      <c r="Z38" s="81">
        <f>IFERROR('Cuenta total'!$M$21,0)</f>
        <v>0</v>
      </c>
      <c r="AA38" s="81">
        <f>IFERROR('Cuenta total'!$M$22,0)</f>
        <v>0</v>
      </c>
      <c r="AB38" s="81">
        <f>IFERROR('Cuenta total'!$M$23,0)</f>
        <v>0</v>
      </c>
      <c r="AC38" s="7"/>
      <c r="AD38" s="7"/>
      <c r="AE38" s="7"/>
      <c r="AF38" s="7"/>
      <c r="AG38" s="7"/>
      <c r="AH38" s="7"/>
      <c r="AI38" s="7"/>
      <c r="AJ38" s="7"/>
      <c r="AK38" s="7"/>
      <c r="AL38" s="7"/>
      <c r="AM38" s="7"/>
      <c r="AN38" s="7"/>
      <c r="AO38" s="7"/>
      <c r="AP38" s="7"/>
      <c r="AQ38" s="7"/>
      <c r="AR38" s="7"/>
    </row>
    <row r="39" spans="1:44" ht="13.5" customHeight="1">
      <c r="M39" s="481" t="s">
        <v>88</v>
      </c>
      <c r="N39" s="482"/>
      <c r="O39" s="482"/>
      <c r="P39" s="482"/>
      <c r="Q39" s="482"/>
      <c r="R39" s="483"/>
      <c r="S39" s="81">
        <f>IFERROR('Cuenta total'!$N$14,0)</f>
        <v>0</v>
      </c>
      <c r="T39" s="81">
        <f>IFERROR('Cuenta total'!$N$15,0)</f>
        <v>0</v>
      </c>
      <c r="U39" s="81">
        <f>IFERROR('Cuenta total'!$N$16,0)</f>
        <v>0</v>
      </c>
      <c r="V39" s="81">
        <f>IFERROR('Cuenta total'!$N$17,0)</f>
        <v>0</v>
      </c>
      <c r="W39" s="81">
        <f>IFERROR('Cuenta total'!$N$18,0)</f>
        <v>0</v>
      </c>
      <c r="X39" s="81">
        <f>IFERROR('Cuenta total'!$N$19,0)</f>
        <v>0</v>
      </c>
      <c r="Y39" s="81">
        <f>IFERROR('Cuenta total'!$N$20,0)</f>
        <v>0</v>
      </c>
      <c r="Z39" s="81">
        <f>IFERROR('Cuenta total'!$N$21,0)</f>
        <v>0</v>
      </c>
      <c r="AA39" s="81">
        <f>IFERROR('Cuenta total'!$N$22,0)</f>
        <v>0</v>
      </c>
      <c r="AB39" s="81">
        <f>IFERROR('Cuenta total'!$N$23,0)</f>
        <v>0</v>
      </c>
      <c r="AC39" s="7"/>
      <c r="AD39" s="7"/>
      <c r="AE39" s="7"/>
      <c r="AF39" s="7"/>
      <c r="AG39" s="7"/>
      <c r="AH39" s="7"/>
      <c r="AI39" s="7"/>
      <c r="AJ39" s="7"/>
      <c r="AK39" s="7"/>
      <c r="AL39" s="7"/>
      <c r="AM39" s="7"/>
      <c r="AN39" s="7"/>
      <c r="AO39" s="7"/>
      <c r="AP39" s="7"/>
      <c r="AQ39" s="7"/>
      <c r="AR39" s="7"/>
    </row>
    <row r="40" spans="1:44" ht="13.5" customHeight="1">
      <c r="F40" s="511"/>
      <c r="G40" s="511"/>
      <c r="H40" s="511"/>
      <c r="M40" s="481" t="s">
        <v>106</v>
      </c>
      <c r="N40" s="482"/>
      <c r="O40" s="482"/>
      <c r="P40" s="482"/>
      <c r="Q40" s="482"/>
      <c r="R40" s="483"/>
      <c r="S40" s="81">
        <f>IFERROR('Cuenta total'!$P$14,0)</f>
        <v>0</v>
      </c>
      <c r="T40" s="81">
        <f>IFERROR('Cuenta total'!$P$15,0)</f>
        <v>0</v>
      </c>
      <c r="U40" s="81">
        <f>IFERROR('Cuenta total'!$P$16,0)</f>
        <v>0</v>
      </c>
      <c r="V40" s="81">
        <f>IFERROR('Cuenta total'!$P$17,0)</f>
        <v>0</v>
      </c>
      <c r="W40" s="81">
        <f>IFERROR('Cuenta total'!$P$18,0)</f>
        <v>0</v>
      </c>
      <c r="X40" s="81">
        <f>IFERROR('Cuenta total'!$P$19,0)</f>
        <v>0</v>
      </c>
      <c r="Y40" s="81">
        <f>IFERROR('Cuenta total'!$P$20,0)</f>
        <v>0</v>
      </c>
      <c r="Z40" s="81">
        <f>IFERROR('Cuenta total'!$P$21,0)</f>
        <v>0</v>
      </c>
      <c r="AA40" s="81">
        <f>IFERROR('Cuenta total'!$P$22,0)</f>
        <v>0</v>
      </c>
      <c r="AB40" s="81">
        <f>IFERROR('Cuenta total'!$P$23,0)</f>
        <v>0</v>
      </c>
      <c r="AC40" s="7"/>
      <c r="AD40" s="7"/>
      <c r="AE40" s="7"/>
      <c r="AF40" s="7"/>
      <c r="AG40" s="7"/>
      <c r="AH40" s="7"/>
      <c r="AI40" s="7"/>
      <c r="AJ40" s="7"/>
      <c r="AK40" s="7"/>
      <c r="AL40" s="7"/>
      <c r="AM40" s="7"/>
      <c r="AN40" s="7"/>
      <c r="AO40" s="7"/>
      <c r="AP40" s="7"/>
      <c r="AQ40" s="7"/>
      <c r="AR40" s="7"/>
    </row>
    <row r="41" spans="1:44" ht="13.5" customHeight="1">
      <c r="M41" s="471" t="s">
        <v>90</v>
      </c>
      <c r="N41" s="472"/>
      <c r="O41" s="472"/>
      <c r="P41" s="472"/>
      <c r="Q41" s="472"/>
      <c r="R41" s="473"/>
      <c r="S41" s="81">
        <f>IFERROR('Cuenta total'!$T$14,0)</f>
        <v>0</v>
      </c>
      <c r="T41" s="81">
        <f>IFERROR('Cuenta total'!$T$15,0)</f>
        <v>0</v>
      </c>
      <c r="U41" s="81">
        <f>IFERROR('Cuenta total'!$T$16,0)</f>
        <v>0</v>
      </c>
      <c r="V41" s="81">
        <f>IFERROR('Cuenta total'!$T$17,0)</f>
        <v>0</v>
      </c>
      <c r="W41" s="81">
        <f>IFERROR('Cuenta total'!$T$18,0)</f>
        <v>0</v>
      </c>
      <c r="X41" s="81">
        <f>IFERROR('Cuenta total'!$T$19,0)</f>
        <v>0</v>
      </c>
      <c r="Y41" s="81">
        <f>IFERROR('Cuenta total'!$T$20,0)</f>
        <v>0</v>
      </c>
      <c r="Z41" s="81">
        <f>IFERROR('Cuenta total'!$T$21,0)</f>
        <v>0</v>
      </c>
      <c r="AA41" s="81">
        <f>IFERROR('Cuenta total'!$T$22,0)</f>
        <v>0</v>
      </c>
      <c r="AB41" s="81">
        <f>IFERROR('Cuenta total'!$T$23,0)</f>
        <v>0</v>
      </c>
      <c r="AC41" s="7"/>
      <c r="AD41" s="7"/>
      <c r="AE41" s="7"/>
      <c r="AF41" s="7"/>
      <c r="AG41" s="7"/>
      <c r="AH41" s="7"/>
      <c r="AI41" s="7"/>
      <c r="AJ41" s="7"/>
      <c r="AK41" s="7"/>
      <c r="AL41" s="7"/>
      <c r="AM41" s="7"/>
      <c r="AN41" s="7"/>
      <c r="AO41" s="7"/>
      <c r="AP41" s="7"/>
      <c r="AQ41" s="7"/>
      <c r="AR41" s="7"/>
    </row>
    <row r="42" spans="1:44" ht="13.5" customHeight="1">
      <c r="M42" s="471" t="s">
        <v>91</v>
      </c>
      <c r="N42" s="472"/>
      <c r="O42" s="472"/>
      <c r="P42" s="472"/>
      <c r="Q42" s="472"/>
      <c r="R42" s="473"/>
      <c r="S42" s="81">
        <f>IFERROR('Cuenta total'!$L$14,0)</f>
        <v>0</v>
      </c>
      <c r="T42" s="81">
        <f>IFERROR('Cuenta total'!$L$15,0)</f>
        <v>0</v>
      </c>
      <c r="U42" s="81">
        <f>IFERROR('Cuenta total'!$L$16,0)</f>
        <v>0</v>
      </c>
      <c r="V42" s="81">
        <f>IFERROR('Cuenta total'!$L$17,0)</f>
        <v>0</v>
      </c>
      <c r="W42" s="81">
        <f>IFERROR('Cuenta total'!$L$18,0)</f>
        <v>0</v>
      </c>
      <c r="X42" s="81">
        <f>IFERROR('Cuenta total'!$L$19,0)</f>
        <v>0</v>
      </c>
      <c r="Y42" s="81">
        <f>IFERROR('Cuenta total'!$L$20,0)</f>
        <v>0</v>
      </c>
      <c r="Z42" s="81">
        <f>IFERROR('Cuenta total'!$L$21,0)</f>
        <v>0</v>
      </c>
      <c r="AA42" s="81">
        <f>IFERROR('Cuenta total'!$L$22,0)</f>
        <v>0</v>
      </c>
      <c r="AB42" s="81">
        <f>IFERROR('Cuenta total'!$L$23,0)</f>
        <v>0</v>
      </c>
      <c r="AC42" s="7"/>
      <c r="AD42" s="7"/>
      <c r="AE42" s="7"/>
      <c r="AF42" s="7"/>
      <c r="AG42" s="7"/>
      <c r="AH42" s="7"/>
      <c r="AI42" s="7"/>
      <c r="AJ42" s="7"/>
      <c r="AK42" s="7"/>
      <c r="AL42" s="7"/>
      <c r="AM42" s="7"/>
      <c r="AN42" s="7"/>
      <c r="AO42" s="7"/>
      <c r="AP42" s="7"/>
      <c r="AQ42" s="7"/>
      <c r="AR42" s="7"/>
    </row>
    <row r="43" spans="1:44" ht="13.5" customHeight="1">
      <c r="M43" s="471" t="s">
        <v>92</v>
      </c>
      <c r="N43" s="472"/>
      <c r="O43" s="472"/>
      <c r="P43" s="472"/>
      <c r="Q43" s="472"/>
      <c r="R43" s="473"/>
      <c r="S43" s="81">
        <f>IFERROR('Cuenta total'!$S$14,0)</f>
        <v>0</v>
      </c>
      <c r="T43" s="81">
        <f>IFERROR('Cuenta total'!$S$15,0)</f>
        <v>0</v>
      </c>
      <c r="U43" s="81">
        <f>IFERROR('Cuenta total'!$S$16,0)</f>
        <v>0</v>
      </c>
      <c r="V43" s="81">
        <f>IFERROR('Cuenta total'!$S$17,0)</f>
        <v>0</v>
      </c>
      <c r="W43" s="81">
        <f>IFERROR('Cuenta total'!$S$18,0)</f>
        <v>0</v>
      </c>
      <c r="X43" s="81">
        <f>IFERROR('Cuenta total'!$S$19,0)</f>
        <v>0</v>
      </c>
      <c r="Y43" s="81">
        <f>IFERROR('Cuenta total'!$S$20,0)</f>
        <v>0</v>
      </c>
      <c r="Z43" s="81">
        <f>IFERROR('Cuenta total'!$S$21,0)</f>
        <v>0</v>
      </c>
      <c r="AA43" s="81">
        <f>IFERROR('Cuenta total'!$S$22,0)</f>
        <v>0</v>
      </c>
      <c r="AB43" s="81">
        <f>IFERROR('Cuenta total'!$S$23,0)</f>
        <v>0</v>
      </c>
      <c r="AC43" s="7"/>
      <c r="AD43" s="7"/>
      <c r="AE43" s="7"/>
      <c r="AF43" s="7"/>
      <c r="AG43" s="7"/>
      <c r="AH43" s="7"/>
      <c r="AI43" s="7"/>
      <c r="AJ43" s="7"/>
      <c r="AK43" s="7"/>
      <c r="AL43" s="7"/>
      <c r="AM43" s="7"/>
      <c r="AN43" s="7"/>
      <c r="AO43" s="7"/>
      <c r="AP43" s="7"/>
      <c r="AQ43" s="7"/>
      <c r="AR43" s="7"/>
    </row>
    <row r="44" spans="1:44" ht="13.5" customHeight="1">
      <c r="M44" s="471" t="str">
        <f>B23</f>
        <v/>
      </c>
      <c r="N44" s="472"/>
      <c r="O44" s="472"/>
      <c r="P44" s="472"/>
      <c r="Q44" s="472"/>
      <c r="R44" s="473"/>
      <c r="S44" s="293" t="str">
        <f>IFERROR('Cuenta total'!$U$14,0)</f>
        <v/>
      </c>
      <c r="T44" s="293" t="str">
        <f>IFERROR('Cuenta total'!$U$15,0)</f>
        <v/>
      </c>
      <c r="U44" s="293" t="str">
        <f>IFERROR('Cuenta total'!$U$16,0)</f>
        <v/>
      </c>
      <c r="V44" s="293" t="str">
        <f>IFERROR('Cuenta total'!$U$17,0)</f>
        <v/>
      </c>
      <c r="W44" s="293" t="str">
        <f>IFERROR('Cuenta total'!$U$18,0)</f>
        <v/>
      </c>
      <c r="X44" s="293" t="str">
        <f>IFERROR('Cuenta total'!$U$19,0)</f>
        <v/>
      </c>
      <c r="Y44" s="293" t="str">
        <f>IFERROR('Cuenta total'!$U$20,0)</f>
        <v/>
      </c>
      <c r="Z44" s="293" t="str">
        <f>IFERROR('Cuenta total'!$U$21,0)</f>
        <v/>
      </c>
      <c r="AA44" s="293" t="str">
        <f>IFERROR('Cuenta total'!$U$22,0)</f>
        <v/>
      </c>
      <c r="AB44" s="293" t="str">
        <f>IFERROR('Cuenta total'!$U$23,0)</f>
        <v/>
      </c>
      <c r="AC44" s="7"/>
      <c r="AD44" s="7"/>
      <c r="AE44" s="7"/>
      <c r="AF44" s="7"/>
      <c r="AG44" s="7"/>
      <c r="AH44" s="7"/>
      <c r="AI44" s="7"/>
      <c r="AJ44" s="7"/>
      <c r="AK44" s="7"/>
      <c r="AL44" s="7"/>
      <c r="AM44" s="7"/>
      <c r="AN44" s="7"/>
      <c r="AO44" s="7"/>
      <c r="AP44" s="7"/>
      <c r="AQ44" s="7"/>
      <c r="AR44" s="7"/>
    </row>
    <row r="45" spans="1:44" ht="13.5" customHeight="1">
      <c r="M45" s="471">
        <f>IF('Datos de Proyecto'!D32="NOVOTEGRA M2 CLAMP","M8-1.25 X 20MM BOLT",0)</f>
        <v>0</v>
      </c>
      <c r="N45" s="472"/>
      <c r="O45" s="472"/>
      <c r="P45" s="472"/>
      <c r="Q45" s="472"/>
      <c r="R45" s="473"/>
      <c r="S45" s="293">
        <f>IF($M$45="M8-1.25 X 20MM BOLT",S44,0)</f>
        <v>0</v>
      </c>
      <c r="T45" s="293">
        <f t="shared" ref="T45:AB45" si="3">IF($M$45="M8-1.25 X 20MM BOLT",T44,0)</f>
        <v>0</v>
      </c>
      <c r="U45" s="293">
        <f t="shared" si="3"/>
        <v>0</v>
      </c>
      <c r="V45" s="293">
        <f t="shared" si="3"/>
        <v>0</v>
      </c>
      <c r="W45" s="293">
        <f t="shared" si="3"/>
        <v>0</v>
      </c>
      <c r="X45" s="293">
        <f t="shared" si="3"/>
        <v>0</v>
      </c>
      <c r="Y45" s="293">
        <f t="shared" si="3"/>
        <v>0</v>
      </c>
      <c r="Z45" s="293">
        <f t="shared" si="3"/>
        <v>0</v>
      </c>
      <c r="AA45" s="293">
        <f t="shared" si="3"/>
        <v>0</v>
      </c>
      <c r="AB45" s="293">
        <f t="shared" si="3"/>
        <v>0</v>
      </c>
      <c r="AC45" s="7"/>
      <c r="AD45" s="7"/>
      <c r="AE45" s="7"/>
      <c r="AF45" s="7"/>
      <c r="AG45" s="7"/>
      <c r="AH45" s="7"/>
      <c r="AI45" s="7"/>
      <c r="AJ45" s="7"/>
      <c r="AK45" s="7"/>
      <c r="AL45" s="7"/>
      <c r="AM45" s="7"/>
      <c r="AN45" s="7"/>
      <c r="AO45" s="7"/>
      <c r="AP45" s="7"/>
      <c r="AQ45" s="7"/>
      <c r="AR45" s="7"/>
    </row>
    <row r="46" spans="1:44" ht="13.5" customHeight="1">
      <c r="AC46" s="7"/>
      <c r="AD46" s="7"/>
      <c r="AE46" s="7"/>
      <c r="AF46" s="7"/>
      <c r="AG46" s="7"/>
      <c r="AH46" s="7"/>
      <c r="AI46" s="7"/>
      <c r="AJ46" s="7"/>
      <c r="AK46" s="7"/>
      <c r="AL46" s="7"/>
      <c r="AM46" s="7"/>
      <c r="AN46" s="7"/>
      <c r="AO46" s="7"/>
      <c r="AP46" s="7"/>
      <c r="AQ46" s="7"/>
      <c r="AR46" s="7"/>
    </row>
    <row r="47" spans="1:44" ht="13.5" customHeight="1">
      <c r="M47" s="398" t="str">
        <f>IF('Datos de Proyecto'!D33&gt;0, "*Recuerda que el apoyo inicial es perpendicular a la superficie a instalar","")</f>
        <v/>
      </c>
      <c r="O47" s="399"/>
      <c r="AC47" s="7"/>
      <c r="AD47" s="7"/>
      <c r="AE47" s="7"/>
      <c r="AF47" s="7"/>
      <c r="AG47" s="7"/>
      <c r="AH47" s="7"/>
      <c r="AI47" s="7"/>
      <c r="AJ47" s="7"/>
      <c r="AK47" s="7"/>
      <c r="AL47" s="7"/>
      <c r="AM47" s="7"/>
      <c r="AN47" s="7"/>
      <c r="AO47" s="7"/>
      <c r="AP47" s="7"/>
      <c r="AQ47" s="7"/>
      <c r="AR47" s="7"/>
    </row>
    <row r="48" spans="1:44" ht="13.5" customHeight="1">
      <c r="M48" s="398" t="str">
        <f>IF('Datos de Proyecto'!D34&lt;1, "*Recuerda ingresar inclinación de ser necesaria","")</f>
        <v>*Recuerda ingresar inclinación de ser necesaria</v>
      </c>
      <c r="O48" s="399"/>
      <c r="AC48" s="7"/>
      <c r="AD48" s="7"/>
      <c r="AE48" s="7"/>
      <c r="AF48" s="7"/>
      <c r="AG48" s="7"/>
      <c r="AH48" s="7"/>
      <c r="AI48" s="7"/>
      <c r="AJ48" s="7"/>
      <c r="AK48" s="7"/>
      <c r="AL48" s="7"/>
      <c r="AM48" s="7"/>
      <c r="AN48" s="7"/>
      <c r="AO48" s="7"/>
      <c r="AP48" s="7"/>
      <c r="AQ48" s="7"/>
      <c r="AR48" s="7"/>
    </row>
    <row r="49" spans="3:44" ht="13.5" customHeight="1">
      <c r="AC49" s="7"/>
      <c r="AD49" s="7"/>
      <c r="AE49" s="7"/>
      <c r="AF49" s="7"/>
      <c r="AG49" s="7"/>
      <c r="AH49" s="7"/>
      <c r="AI49" s="7"/>
      <c r="AJ49" s="7"/>
      <c r="AK49" s="7"/>
      <c r="AL49" s="7"/>
      <c r="AM49" s="7"/>
      <c r="AN49" s="7"/>
      <c r="AO49" s="7"/>
      <c r="AP49" s="7"/>
      <c r="AQ49" s="7"/>
      <c r="AR49" s="7"/>
    </row>
    <row r="50" spans="3:44" ht="13.5" customHeight="1"/>
    <row r="52" spans="3:44" ht="16">
      <c r="C52" s="510"/>
      <c r="D52" s="510"/>
      <c r="E52" s="510"/>
    </row>
    <row r="53" spans="3:44" ht="30" customHeight="1">
      <c r="C53" s="509"/>
      <c r="D53" s="509"/>
      <c r="E53" s="509"/>
    </row>
  </sheetData>
  <sheetProtection algorithmName="SHA-512" hashValue="LTWgctPem+DZnlUI/2QWrLIvYOrgrmKURJGzGioQmC6vhsJhYaVIalKNsPXJ3tuaA5NB0EfHIechLVS/1fj6yw==" saltValue="KQMvtDT27Dqm0U2+9W5saA==" spinCount="100000" sheet="1" selectLockedCells="1"/>
  <mergeCells count="109">
    <mergeCell ref="C4:D4"/>
    <mergeCell ref="B14:E14"/>
    <mergeCell ref="B13:E13"/>
    <mergeCell ref="A25:H26"/>
    <mergeCell ref="B18:E18"/>
    <mergeCell ref="B17:E17"/>
    <mergeCell ref="B16:E16"/>
    <mergeCell ref="B15:E15"/>
    <mergeCell ref="B23:E23"/>
    <mergeCell ref="F23:H23"/>
    <mergeCell ref="F24:H24"/>
    <mergeCell ref="B24:E24"/>
    <mergeCell ref="B19:E19"/>
    <mergeCell ref="A11:H12"/>
    <mergeCell ref="F13:H13"/>
    <mergeCell ref="B20:E20"/>
    <mergeCell ref="F17:H17"/>
    <mergeCell ref="M45:R45"/>
    <mergeCell ref="M11:R11"/>
    <mergeCell ref="M33:R33"/>
    <mergeCell ref="B27:D27"/>
    <mergeCell ref="B28:D28"/>
    <mergeCell ref="B32:D32"/>
    <mergeCell ref="M30:R30"/>
    <mergeCell ref="M23:R23"/>
    <mergeCell ref="B38:D38"/>
    <mergeCell ref="B37:D37"/>
    <mergeCell ref="F28:H28"/>
    <mergeCell ref="F29:H29"/>
    <mergeCell ref="M34:R34"/>
    <mergeCell ref="M39:R39"/>
    <mergeCell ref="M41:R41"/>
    <mergeCell ref="M37:R37"/>
    <mergeCell ref="F40:H40"/>
    <mergeCell ref="M42:R42"/>
    <mergeCell ref="M43:R43"/>
    <mergeCell ref="M38:R38"/>
    <mergeCell ref="M40:R40"/>
    <mergeCell ref="AF4:AK4"/>
    <mergeCell ref="AF5:AK5"/>
    <mergeCell ref="AF6:AK6"/>
    <mergeCell ref="AF9:AK9"/>
    <mergeCell ref="M31:R31"/>
    <mergeCell ref="M22:R22"/>
    <mergeCell ref="E4:H7"/>
    <mergeCell ref="F27:H27"/>
    <mergeCell ref="M35:R35"/>
    <mergeCell ref="M20:R20"/>
    <mergeCell ref="M21:R21"/>
    <mergeCell ref="AF13:AK13"/>
    <mergeCell ref="AF14:AK14"/>
    <mergeCell ref="AF15:AK15"/>
    <mergeCell ref="AF16:AK16"/>
    <mergeCell ref="AF18:AK18"/>
    <mergeCell ref="F16:H16"/>
    <mergeCell ref="AF10:AK10"/>
    <mergeCell ref="AF11:AK11"/>
    <mergeCell ref="M10:R10"/>
    <mergeCell ref="M9:R9"/>
    <mergeCell ref="M7:R7"/>
    <mergeCell ref="M32:R32"/>
    <mergeCell ref="M1:AB2"/>
    <mergeCell ref="M14:R14"/>
    <mergeCell ref="M12:R12"/>
    <mergeCell ref="M15:R15"/>
    <mergeCell ref="M17:R17"/>
    <mergeCell ref="M16:R16"/>
    <mergeCell ref="B36:D36"/>
    <mergeCell ref="F15:H15"/>
    <mergeCell ref="F14:H14"/>
    <mergeCell ref="B29:D29"/>
    <mergeCell ref="B30:D30"/>
    <mergeCell ref="B31:D31"/>
    <mergeCell ref="B33:D33"/>
    <mergeCell ref="B34:D34"/>
    <mergeCell ref="B35:D35"/>
    <mergeCell ref="F22:H22"/>
    <mergeCell ref="F21:H21"/>
    <mergeCell ref="F20:H20"/>
    <mergeCell ref="F19:H19"/>
    <mergeCell ref="F18:H18"/>
    <mergeCell ref="B22:E22"/>
    <mergeCell ref="B21:E21"/>
    <mergeCell ref="M18:R18"/>
    <mergeCell ref="M19:R19"/>
    <mergeCell ref="M3:AB3"/>
    <mergeCell ref="M4:R4"/>
    <mergeCell ref="M5:R5"/>
    <mergeCell ref="M6:R6"/>
    <mergeCell ref="M13:R13"/>
    <mergeCell ref="M8:R8"/>
    <mergeCell ref="C53:E53"/>
    <mergeCell ref="C52:E52"/>
    <mergeCell ref="M44:R44"/>
    <mergeCell ref="M36:R36"/>
    <mergeCell ref="F32:H32"/>
    <mergeCell ref="M26:R26"/>
    <mergeCell ref="M25:AB25"/>
    <mergeCell ref="M27:R27"/>
    <mergeCell ref="M28:R28"/>
    <mergeCell ref="M29:R29"/>
    <mergeCell ref="F38:H38"/>
    <mergeCell ref="F37:H37"/>
    <mergeCell ref="F36:H36"/>
    <mergeCell ref="F35:H35"/>
    <mergeCell ref="F34:H34"/>
    <mergeCell ref="F30:H30"/>
    <mergeCell ref="F31:H31"/>
    <mergeCell ref="F33:H33"/>
  </mergeCells>
  <pageMargins left="0.25" right="0.25" top="0.75" bottom="0.75" header="0.3" footer="0.3"/>
  <pageSetup orientation="portrait" r:id="rId1"/>
  <headerFooter>
    <oddHeader>&amp;L&amp;G
&amp;C&amp;16&amp;K278C46Flat Roof - Single Row&amp;R&amp;"BayWa Sans Book,Normal"&amp;D
&amp;T</oddHeader>
    <oddFooter>&amp;R&amp;P</oddFooter>
  </headerFooter>
  <drawing r:id="rId2"/>
  <legacyDrawing r:id="rId3"/>
  <legacyDrawingHF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D928-3D42-4DD2-809B-E67D58D16265}">
  <sheetPr codeName="Hoja5"/>
  <dimension ref="A1:AR56"/>
  <sheetViews>
    <sheetView showZeros="0" zoomScaleNormal="100" workbookViewId="0">
      <selection activeCell="J11" sqref="J11"/>
    </sheetView>
  </sheetViews>
  <sheetFormatPr defaultColWidth="10.81640625" defaultRowHeight="14.5"/>
  <cols>
    <col min="1" max="2" width="10.81640625" style="1" customWidth="1"/>
    <col min="3" max="3" width="22.6328125" style="1" customWidth="1"/>
    <col min="4" max="4" width="16.81640625" style="1" customWidth="1"/>
    <col min="5" max="5" width="15" style="1" customWidth="1"/>
    <col min="6" max="6" width="4" style="1" customWidth="1"/>
    <col min="7" max="7" width="6.1796875" style="1" customWidth="1"/>
    <col min="8" max="12" width="3.1796875" style="1" customWidth="1"/>
    <col min="13" max="17" width="3.81640625" style="1" customWidth="1"/>
    <col min="18" max="18" width="7.36328125" style="1" customWidth="1"/>
    <col min="19" max="28" width="6.81640625" style="1" customWidth="1"/>
    <col min="29" max="31" width="3.1796875" style="1" customWidth="1"/>
    <col min="32" max="34" width="4" style="1" customWidth="1"/>
    <col min="35" max="35" width="16.1796875" style="1" customWidth="1"/>
    <col min="36" max="44" width="6.81640625" style="1" customWidth="1"/>
    <col min="45" max="16384" width="10.81640625" style="1"/>
  </cols>
  <sheetData>
    <row r="1" spans="1:44" ht="13.5" customHeight="1">
      <c r="A1" s="3" t="s">
        <v>34</v>
      </c>
      <c r="B1" s="3"/>
      <c r="C1" s="3">
        <f>nm</f>
        <v>0</v>
      </c>
      <c r="D1" s="10"/>
      <c r="M1" s="487" t="s">
        <v>133</v>
      </c>
      <c r="N1" s="487"/>
      <c r="O1" s="487"/>
      <c r="P1" s="487"/>
      <c r="Q1" s="487"/>
      <c r="R1" s="487"/>
      <c r="S1" s="487"/>
      <c r="T1" s="487"/>
      <c r="U1" s="487"/>
      <c r="V1" s="487"/>
      <c r="W1" s="487"/>
      <c r="X1" s="487"/>
      <c r="Y1" s="487"/>
      <c r="Z1" s="487"/>
      <c r="AA1" s="487"/>
      <c r="AB1" s="487"/>
    </row>
    <row r="2" spans="1:44" ht="13.5" customHeight="1">
      <c r="A2" s="3" t="s">
        <v>35</v>
      </c>
      <c r="B2" s="3"/>
      <c r="C2" s="3">
        <f>cnt</f>
        <v>0</v>
      </c>
      <c r="D2" s="264"/>
      <c r="E2" s="402"/>
      <c r="F2" s="402"/>
      <c r="G2" s="402"/>
      <c r="H2" s="402"/>
      <c r="I2" s="353"/>
      <c r="J2" s="353"/>
      <c r="K2" s="353"/>
      <c r="L2" s="353"/>
      <c r="M2" s="488"/>
      <c r="N2" s="488"/>
      <c r="O2" s="488"/>
      <c r="P2" s="488"/>
      <c r="Q2" s="488"/>
      <c r="R2" s="488"/>
      <c r="S2" s="488"/>
      <c r="T2" s="488"/>
      <c r="U2" s="488"/>
      <c r="V2" s="488"/>
      <c r="W2" s="488"/>
      <c r="X2" s="488"/>
      <c r="Y2" s="488"/>
      <c r="Z2" s="488"/>
      <c r="AA2" s="488"/>
      <c r="AB2" s="488"/>
    </row>
    <row r="3" spans="1:44" ht="13.5" customHeight="1">
      <c r="A3" s="3" t="s">
        <v>67</v>
      </c>
      <c r="B3" s="3"/>
      <c r="C3" s="3">
        <f>mail</f>
        <v>0</v>
      </c>
      <c r="D3" s="264"/>
      <c r="E3" s="402"/>
      <c r="F3" s="451" t="str">
        <f>IF(F15="Error","No se puede realizar una instalación con las condiciones propuestas , revisa que la exposición al viento sea la correcta o  baja el ángulo de inclinación.","")</f>
        <v/>
      </c>
      <c r="G3" s="451"/>
      <c r="H3" s="451"/>
      <c r="I3" s="451"/>
      <c r="J3" s="451"/>
      <c r="K3" s="353"/>
      <c r="L3" s="353"/>
      <c r="M3" s="490" t="s">
        <v>134</v>
      </c>
      <c r="N3" s="491"/>
      <c r="O3" s="491"/>
      <c r="P3" s="491"/>
      <c r="Q3" s="491"/>
      <c r="R3" s="491"/>
      <c r="S3" s="491"/>
      <c r="T3" s="491"/>
      <c r="U3" s="491"/>
      <c r="V3" s="491"/>
      <c r="W3" s="491"/>
      <c r="X3" s="491"/>
      <c r="Y3" s="491"/>
      <c r="Z3" s="491"/>
      <c r="AA3" s="491"/>
      <c r="AB3" s="523"/>
    </row>
    <row r="4" spans="1:44" ht="13.5" customHeight="1">
      <c r="A4" s="2" t="s">
        <v>69</v>
      </c>
      <c r="C4" s="3" t="str">
        <f>'Datos de Proyecto'!C15</f>
        <v xml:space="preserve">Colima / Colima </v>
      </c>
      <c r="D4" s="264"/>
      <c r="E4" s="402"/>
      <c r="F4" s="451"/>
      <c r="G4" s="451"/>
      <c r="H4" s="451"/>
      <c r="I4" s="451"/>
      <c r="J4" s="451"/>
      <c r="K4" s="353"/>
      <c r="L4" s="353"/>
      <c r="M4" s="524" t="s">
        <v>73</v>
      </c>
      <c r="N4" s="525"/>
      <c r="O4" s="525"/>
      <c r="P4" s="525"/>
      <c r="Q4" s="525"/>
      <c r="R4" s="526"/>
      <c r="S4" s="256">
        <v>1</v>
      </c>
      <c r="T4" s="256">
        <v>2</v>
      </c>
      <c r="U4" s="256">
        <v>3</v>
      </c>
      <c r="V4" s="256">
        <v>4</v>
      </c>
      <c r="W4" s="256">
        <v>5</v>
      </c>
      <c r="X4" s="256">
        <v>6</v>
      </c>
      <c r="Y4" s="256">
        <v>7</v>
      </c>
      <c r="Z4" s="256">
        <v>8</v>
      </c>
      <c r="AA4" s="256">
        <v>9</v>
      </c>
      <c r="AB4" s="256">
        <v>10</v>
      </c>
    </row>
    <row r="5" spans="1:44" ht="13.5" customHeight="1">
      <c r="A5" s="3" t="s">
        <v>101</v>
      </c>
      <c r="B5" s="3"/>
      <c r="C5" s="104">
        <f>'Datos de Proyecto'!C16</f>
        <v>120</v>
      </c>
      <c r="D5" s="530">
        <f>IF(MAX('Calculo de Span'!W8:W27)&gt;24,"ERROR:La longitud del riel EO no puede ser mayor a 24m",0)</f>
        <v>0</v>
      </c>
      <c r="E5" s="530"/>
      <c r="F5" s="451"/>
      <c r="G5" s="451"/>
      <c r="H5" s="451"/>
      <c r="I5" s="451"/>
      <c r="J5" s="451"/>
      <c r="K5" s="353"/>
      <c r="L5" s="353"/>
      <c r="M5" s="480" t="s">
        <v>53</v>
      </c>
      <c r="N5" s="480"/>
      <c r="O5" s="480"/>
      <c r="P5" s="480"/>
      <c r="Q5" s="480"/>
      <c r="R5" s="480"/>
      <c r="S5" s="383">
        <f>'Datos de Proyecto'!N21</f>
        <v>0</v>
      </c>
      <c r="T5" s="383">
        <f>'Datos de Proyecto'!N22</f>
        <v>0</v>
      </c>
      <c r="U5" s="383">
        <f>'Datos de Proyecto'!N23</f>
        <v>0</v>
      </c>
      <c r="V5" s="383">
        <f>'Datos de Proyecto'!N24</f>
        <v>0</v>
      </c>
      <c r="W5" s="383">
        <f>'Datos de Proyecto'!N25</f>
        <v>0</v>
      </c>
      <c r="X5" s="383">
        <f>'Datos de Proyecto'!N26</f>
        <v>0</v>
      </c>
      <c r="Y5" s="383">
        <f>'Datos de Proyecto'!N27</f>
        <v>0</v>
      </c>
      <c r="Z5" s="383">
        <f>'Datos de Proyecto'!N28</f>
        <v>0</v>
      </c>
      <c r="AA5" s="383">
        <f>'Datos de Proyecto'!N29</f>
        <v>0</v>
      </c>
      <c r="AB5" s="383">
        <f>'Datos de Proyecto'!N30</f>
        <v>0</v>
      </c>
    </row>
    <row r="6" spans="1:44" ht="13.5" customHeight="1">
      <c r="A6" s="2" t="s">
        <v>72</v>
      </c>
      <c r="B6" s="2"/>
      <c r="C6" s="105">
        <f>'Datos de Proyecto'!D24</f>
        <v>615</v>
      </c>
      <c r="D6" s="530"/>
      <c r="E6" s="530"/>
      <c r="F6" s="451"/>
      <c r="G6" s="451"/>
      <c r="H6" s="451"/>
      <c r="I6" s="451"/>
      <c r="J6" s="451"/>
      <c r="K6" s="353"/>
      <c r="L6" s="353"/>
      <c r="M6" s="480" t="s">
        <v>76</v>
      </c>
      <c r="N6" s="480"/>
      <c r="O6" s="480"/>
      <c r="P6" s="480"/>
      <c r="Q6" s="480"/>
      <c r="R6" s="480"/>
      <c r="S6" s="384">
        <f>'Datos de Proyecto'!M21</f>
        <v>0</v>
      </c>
      <c r="T6" s="384">
        <f>'Datos de Proyecto'!M22</f>
        <v>0</v>
      </c>
      <c r="U6" s="384">
        <f>'Datos de Proyecto'!M23</f>
        <v>0</v>
      </c>
      <c r="V6" s="384">
        <f>'Datos de Proyecto'!M24</f>
        <v>0</v>
      </c>
      <c r="W6" s="384">
        <f>'Datos de Proyecto'!M25</f>
        <v>0</v>
      </c>
      <c r="X6" s="384">
        <f>'Datos de Proyecto'!M26</f>
        <v>0</v>
      </c>
      <c r="Y6" s="384">
        <f>'Datos de Proyecto'!M27</f>
        <v>0</v>
      </c>
      <c r="Z6" s="384">
        <f>'Datos de Proyecto'!M28</f>
        <v>0</v>
      </c>
      <c r="AA6" s="384">
        <f>'Datos de Proyecto'!M29</f>
        <v>0</v>
      </c>
      <c r="AB6" s="384">
        <f>'Datos de Proyecto'!M30</f>
        <v>0</v>
      </c>
    </row>
    <row r="7" spans="1:44" ht="13.5" customHeight="1">
      <c r="A7" s="2" t="s">
        <v>74</v>
      </c>
      <c r="B7" s="2"/>
      <c r="C7" s="3">
        <f>SUM('Datos de Proyecto'!M21:M41)</f>
        <v>0</v>
      </c>
      <c r="D7" s="530"/>
      <c r="E7" s="530"/>
      <c r="F7" s="451"/>
      <c r="G7" s="451"/>
      <c r="H7" s="451"/>
      <c r="I7" s="451"/>
      <c r="J7" s="451"/>
      <c r="K7" s="353"/>
      <c r="L7" s="353"/>
      <c r="M7" s="480" t="s">
        <v>97</v>
      </c>
      <c r="N7" s="480"/>
      <c r="O7" s="480"/>
      <c r="P7" s="480"/>
      <c r="Q7" s="480"/>
      <c r="R7" s="480"/>
      <c r="S7" s="384">
        <f>S14/4</f>
        <v>0</v>
      </c>
      <c r="T7" s="384">
        <f t="shared" ref="T7:AB7" si="0">T14/4</f>
        <v>0</v>
      </c>
      <c r="U7" s="384">
        <f t="shared" si="0"/>
        <v>0</v>
      </c>
      <c r="V7" s="384">
        <f t="shared" si="0"/>
        <v>0</v>
      </c>
      <c r="W7" s="384">
        <f t="shared" si="0"/>
        <v>0</v>
      </c>
      <c r="X7" s="384">
        <f t="shared" si="0"/>
        <v>0</v>
      </c>
      <c r="Y7" s="384">
        <f t="shared" si="0"/>
        <v>0</v>
      </c>
      <c r="Z7" s="384">
        <f t="shared" si="0"/>
        <v>0</v>
      </c>
      <c r="AA7" s="384">
        <f t="shared" si="0"/>
        <v>0</v>
      </c>
      <c r="AB7" s="384">
        <f t="shared" si="0"/>
        <v>0</v>
      </c>
    </row>
    <row r="8" spans="1:44" ht="13.5" customHeight="1">
      <c r="A8" s="2" t="s">
        <v>75</v>
      </c>
      <c r="C8" s="3">
        <f>'Datos de Proyecto'!M42</f>
        <v>0</v>
      </c>
      <c r="D8" s="264"/>
      <c r="E8" s="402"/>
      <c r="F8" s="451"/>
      <c r="G8" s="451"/>
      <c r="H8" s="451"/>
      <c r="I8" s="451"/>
      <c r="J8" s="451"/>
      <c r="K8" s="353"/>
      <c r="L8" s="353"/>
      <c r="M8" s="480" t="s">
        <v>586</v>
      </c>
      <c r="N8" s="480"/>
      <c r="O8" s="480"/>
      <c r="P8" s="480"/>
      <c r="Q8" s="480"/>
      <c r="R8" s="480"/>
      <c r="S8" s="385">
        <f>IF('Calculo de Span'!X8="Error","ERROR",'Formula de apoyo'!$G$29)</f>
        <v>0</v>
      </c>
      <c r="T8" s="385">
        <f>IF('Calculo de Span'!X9="Error","ERROR",'Formula de apoyo'!$G$30)</f>
        <v>0</v>
      </c>
      <c r="U8" s="385">
        <f>IF('Calculo de Span'!X10="Error","ERROR",'Formula de apoyo'!$G$31)</f>
        <v>0</v>
      </c>
      <c r="V8" s="385">
        <f>IF('Calculo de Span'!X11="Error","ERROR",'Formula de apoyo'!$G$32)</f>
        <v>0</v>
      </c>
      <c r="W8" s="385">
        <f>IF('Calculo de Span'!X12="Error","ERROR",'Formula de apoyo'!$G$33)</f>
        <v>0</v>
      </c>
      <c r="X8" s="385">
        <f>IF('Calculo de Span'!X13="Error","ERROR",'Formula de apoyo'!$G$34)</f>
        <v>0</v>
      </c>
      <c r="Y8" s="385">
        <f>IF('Calculo de Span'!X14="Error","ERROR",'Formula de apoyo'!$G$35)</f>
        <v>0</v>
      </c>
      <c r="Z8" s="385">
        <f>IF('Calculo de Span'!X15="Error","ERROR",'Formula de apoyo'!$G$36)</f>
        <v>0</v>
      </c>
      <c r="AA8" s="385">
        <f>IF('Calculo de Span'!X16="Error","ERROR",'Formula de apoyo'!$G$37)</f>
        <v>0</v>
      </c>
      <c r="AB8" s="385">
        <f>IF('Calculo de Span'!X17="Error","ERROR",'Formula de apoyo'!$G$38)</f>
        <v>0</v>
      </c>
    </row>
    <row r="9" spans="1:44" ht="13.5" customHeight="1">
      <c r="A9" s="2" t="s">
        <v>77</v>
      </c>
      <c r="C9" s="106">
        <f>ROUNDUP(C8*'Datos de Proyecto'!D25*'Datos de Proyecto'!D26*1.2,0)</f>
        <v>0</v>
      </c>
      <c r="D9" s="264"/>
      <c r="E9" s="402"/>
      <c r="F9" s="451"/>
      <c r="G9" s="451"/>
      <c r="H9" s="451"/>
      <c r="I9" s="451"/>
      <c r="J9" s="451"/>
      <c r="K9" s="353"/>
      <c r="L9" s="353"/>
      <c r="M9" s="480" t="s">
        <v>584</v>
      </c>
      <c r="N9" s="480"/>
      <c r="O9" s="480"/>
      <c r="P9" s="480"/>
      <c r="Q9" s="480"/>
      <c r="R9" s="480"/>
      <c r="S9" s="385">
        <f>+'Formula de apoyo'!$C$29</f>
        <v>0</v>
      </c>
      <c r="T9" s="385">
        <f>+'Formula de apoyo'!$C$30</f>
        <v>0</v>
      </c>
      <c r="U9" s="385">
        <f>+'Formula de apoyo'!$C$31</f>
        <v>0</v>
      </c>
      <c r="V9" s="385">
        <f>+'Formula de apoyo'!$C$32</f>
        <v>0</v>
      </c>
      <c r="W9" s="385">
        <f>+'Formula de apoyo'!$C$33</f>
        <v>0</v>
      </c>
      <c r="X9" s="385">
        <f>+'Formula de apoyo'!$C$34</f>
        <v>0</v>
      </c>
      <c r="Y9" s="385">
        <f>+'Formula de apoyo'!$C$35</f>
        <v>0</v>
      </c>
      <c r="Z9" s="385">
        <f>+'Formula de apoyo'!$C$36</f>
        <v>0</v>
      </c>
      <c r="AA9" s="385">
        <f>+'Formula de apoyo'!$C$37</f>
        <v>0</v>
      </c>
      <c r="AB9" s="385">
        <f>+'Formula de apoyo'!$C$38</f>
        <v>0</v>
      </c>
    </row>
    <row r="10" spans="1:44" ht="13.5" customHeight="1">
      <c r="D10" s="264"/>
      <c r="E10" s="402"/>
      <c r="F10" s="451"/>
      <c r="G10" s="451"/>
      <c r="H10" s="451"/>
      <c r="I10" s="451"/>
      <c r="J10" s="451"/>
      <c r="K10" s="353"/>
      <c r="L10" s="353"/>
      <c r="M10" s="480" t="s">
        <v>585</v>
      </c>
      <c r="N10" s="480"/>
      <c r="O10" s="480"/>
      <c r="P10" s="480"/>
      <c r="Q10" s="480"/>
      <c r="R10" s="480"/>
      <c r="S10" s="385">
        <f>+'Formula de apoyo'!$D$29</f>
        <v>0</v>
      </c>
      <c r="T10" s="385">
        <f>+'Formula de apoyo'!$D$30</f>
        <v>0</v>
      </c>
      <c r="U10" s="385">
        <f>+'Formula de apoyo'!$D$31</f>
        <v>0</v>
      </c>
      <c r="V10" s="385">
        <f>+'Formula de apoyo'!$D$32</f>
        <v>0</v>
      </c>
      <c r="W10" s="385">
        <f>+'Formula de apoyo'!$D$33</f>
        <v>0</v>
      </c>
      <c r="X10" s="385">
        <f>+'Formula de apoyo'!$D$34</f>
        <v>0</v>
      </c>
      <c r="Y10" s="385">
        <f>+'Formula de apoyo'!$D$35</f>
        <v>0</v>
      </c>
      <c r="Z10" s="385">
        <f>+'Formula de apoyo'!$D$36</f>
        <v>0</v>
      </c>
      <c r="AA10" s="385">
        <f>+'Formula de apoyo'!$D$37</f>
        <v>0</v>
      </c>
      <c r="AB10" s="385">
        <f>+'Formula de apoyo'!$D$38</f>
        <v>0</v>
      </c>
      <c r="AM10" s="12"/>
      <c r="AN10" s="467"/>
      <c r="AO10" s="467"/>
      <c r="AP10" s="467"/>
      <c r="AQ10" s="467"/>
      <c r="AR10" s="467"/>
    </row>
    <row r="11" spans="1:44" ht="13.5" customHeight="1">
      <c r="E11" s="402"/>
      <c r="F11" s="402"/>
      <c r="G11" s="402"/>
      <c r="H11" s="402"/>
      <c r="I11" s="353"/>
      <c r="J11" s="353"/>
      <c r="K11" s="353"/>
      <c r="L11" s="353"/>
      <c r="M11" s="480" t="s">
        <v>587</v>
      </c>
      <c r="N11" s="480"/>
      <c r="O11" s="480"/>
      <c r="P11" s="480"/>
      <c r="Q11" s="480"/>
      <c r="R11" s="480"/>
      <c r="S11" s="384">
        <f>'Formula de apoyo'!A29*S6</f>
        <v>0</v>
      </c>
      <c r="T11" s="384">
        <f>'Formula de apoyo'!A30*T6</f>
        <v>0</v>
      </c>
      <c r="U11" s="384">
        <f>'Formula de apoyo'!A31*U6</f>
        <v>0</v>
      </c>
      <c r="V11" s="384">
        <f>'Formula de apoyo'!A32*V6</f>
        <v>0</v>
      </c>
      <c r="W11" s="384">
        <f>'Formula de apoyo'!A33*W6</f>
        <v>0</v>
      </c>
      <c r="X11" s="384">
        <f>'Formula de apoyo'!A34*X6</f>
        <v>0</v>
      </c>
      <c r="Y11" s="384">
        <f>'Formula de apoyo'!A35*Y6</f>
        <v>0</v>
      </c>
      <c r="Z11" s="384">
        <f>'Formula de apoyo'!A36*Z6</f>
        <v>0</v>
      </c>
      <c r="AA11" s="384">
        <f>'Formula de apoyo'!A37*AA6</f>
        <v>0</v>
      </c>
      <c r="AB11" s="384">
        <f>'Formula de apoyo'!A38*AB6</f>
        <v>0</v>
      </c>
    </row>
    <row r="12" spans="1:44" ht="13.5" customHeight="1" thickBot="1">
      <c r="A12" s="469" t="s">
        <v>78</v>
      </c>
      <c r="B12" s="469"/>
      <c r="C12" s="469"/>
      <c r="D12" s="469"/>
      <c r="E12" s="469"/>
      <c r="F12" s="469"/>
      <c r="G12" s="469"/>
      <c r="H12" s="469"/>
      <c r="I12" s="2"/>
      <c r="J12" s="2"/>
      <c r="K12" s="2"/>
      <c r="L12" s="2"/>
      <c r="M12" s="503" t="s">
        <v>79</v>
      </c>
      <c r="N12" s="503"/>
      <c r="O12" s="503"/>
      <c r="P12" s="503"/>
      <c r="Q12" s="503"/>
      <c r="R12" s="503"/>
      <c r="S12" s="386">
        <f>IFERROR(IF('Datos de Proyecto'!M21&lt;&gt;0,VLOOKUP('Datos de Proyecto'!N21,'Calculo de Span'!$M$8:$V$27,9,FALSE),0),"Error")</f>
        <v>0</v>
      </c>
      <c r="T12" s="386">
        <f>IF('Datos de Proyecto'!M22&lt;&gt;0,VLOOKUP('Datos de Proyecto'!N22,'Calculo de Span'!$M$8:$V$27,9,FALSE),0)</f>
        <v>0</v>
      </c>
      <c r="U12" s="386">
        <f>IF('Datos de Proyecto'!M23&lt;&gt;0,VLOOKUP('Datos de Proyecto'!N23,'Calculo de Span'!$M$8:$V$27,9,FALSE),0)</f>
        <v>0</v>
      </c>
      <c r="V12" s="386">
        <f>IF('Datos de Proyecto'!M24&lt;&gt;0,VLOOKUP('Datos de Proyecto'!N24,'Calculo de Span'!$M$8:$V$27,9,FALSE),0)</f>
        <v>0</v>
      </c>
      <c r="W12" s="386">
        <f>IF('Datos de Proyecto'!M25&lt;&gt;0,VLOOKUP('Datos de Proyecto'!N25,'Calculo de Span'!$M$8:$V$27,9,FALSE),0)</f>
        <v>0</v>
      </c>
      <c r="X12" s="386">
        <f>IF('Datos de Proyecto'!M26&lt;&gt;0,VLOOKUP('Datos de Proyecto'!N26,'Calculo de Span'!$M$8:$V$27,9,FALSE),0)</f>
        <v>0</v>
      </c>
      <c r="Y12" s="386">
        <f>IF('Datos de Proyecto'!M27&lt;&gt;0,VLOOKUP('Datos de Proyecto'!N27,'Calculo de Span'!$M$8:$V$27,9,FALSE),0)</f>
        <v>0</v>
      </c>
      <c r="Z12" s="386">
        <f>IF('Datos de Proyecto'!M28&lt;&gt;0,VLOOKUP('Datos de Proyecto'!N28,'Calculo de Span'!$M$8:$V$27,9,FALSE),0)</f>
        <v>0</v>
      </c>
      <c r="AA12" s="386">
        <f>IF('Datos de Proyecto'!M29&lt;&gt;0,VLOOKUP('Datos de Proyecto'!N29,'Calculo de Span'!$M$8:$V$27,9,FALSE),0)</f>
        <v>0</v>
      </c>
      <c r="AB12" s="386">
        <f>IF('Datos de Proyecto'!M30&lt;&gt;0,VLOOKUP('Datos de Proyecto'!N30,'Calculo de Span'!$M$8:$V$27,9,FALSE),0)</f>
        <v>0</v>
      </c>
      <c r="AM12" s="12"/>
      <c r="AN12" s="467"/>
      <c r="AO12" s="467"/>
      <c r="AP12" s="467"/>
      <c r="AQ12" s="467"/>
      <c r="AR12" s="467"/>
    </row>
    <row r="13" spans="1:44" ht="13.5" customHeight="1" thickTop="1">
      <c r="A13" s="469"/>
      <c r="B13" s="469"/>
      <c r="C13" s="469"/>
      <c r="D13" s="469"/>
      <c r="E13" s="469"/>
      <c r="F13" s="469"/>
      <c r="G13" s="469"/>
      <c r="H13" s="469"/>
      <c r="I13" s="97"/>
      <c r="J13" s="97"/>
      <c r="K13" s="97"/>
      <c r="L13" s="97"/>
      <c r="M13" s="506" t="s">
        <v>104</v>
      </c>
      <c r="N13" s="507"/>
      <c r="O13" s="507"/>
      <c r="P13" s="507"/>
      <c r="Q13" s="507"/>
      <c r="R13" s="508"/>
      <c r="S13" s="98">
        <f>IFERROR('Cuenta total'!$AB$4,0)</f>
        <v>0</v>
      </c>
      <c r="T13" s="98">
        <f>IFERROR('Cuenta total'!$AB$5,0)</f>
        <v>0</v>
      </c>
      <c r="U13" s="98">
        <f>IFERROR('Cuenta total'!$AB$6,0)</f>
        <v>0</v>
      </c>
      <c r="V13" s="98">
        <f>IFERROR('Cuenta total'!$AB$7,0)</f>
        <v>0</v>
      </c>
      <c r="W13" s="98">
        <f>IFERROR('Cuenta total'!$AB$8,0)</f>
        <v>0</v>
      </c>
      <c r="X13" s="98">
        <f>IFERROR('Cuenta total'!$AB$9,0)</f>
        <v>0</v>
      </c>
      <c r="Y13" s="98">
        <f>IFERROR('Cuenta total'!$AB$10,0)</f>
        <v>0</v>
      </c>
      <c r="Z13" s="98">
        <f>IFERROR('Cuenta total'!$AB$11,0)</f>
        <v>0</v>
      </c>
      <c r="AA13" s="98">
        <f>IFERROR('Cuenta total'!$AB$12,0)</f>
        <v>0</v>
      </c>
      <c r="AB13" s="98">
        <f>IFERROR('Cuenta total'!$AB$13,0)</f>
        <v>0</v>
      </c>
    </row>
    <row r="14" spans="1:44" ht="13.5" customHeight="1">
      <c r="A14" s="11" t="s">
        <v>81</v>
      </c>
      <c r="B14" s="489" t="s">
        <v>82</v>
      </c>
      <c r="C14" s="489"/>
      <c r="D14" s="489"/>
      <c r="E14" s="489"/>
      <c r="F14" s="489" t="s">
        <v>83</v>
      </c>
      <c r="G14" s="489"/>
      <c r="H14" s="489"/>
      <c r="I14" s="97"/>
      <c r="J14" s="97"/>
      <c r="K14" s="97"/>
      <c r="L14" s="97"/>
      <c r="M14" s="471" t="s">
        <v>80</v>
      </c>
      <c r="N14" s="472"/>
      <c r="O14" s="472"/>
      <c r="P14" s="472"/>
      <c r="Q14" s="472"/>
      <c r="R14" s="473"/>
      <c r="S14" s="81">
        <f>IFERROR('Cuenta total'!$AD$4,0)</f>
        <v>0</v>
      </c>
      <c r="T14" s="81">
        <f>IFERROR('Cuenta total'!$AD$5,0)</f>
        <v>0</v>
      </c>
      <c r="U14" s="81">
        <f>IFERROR('Cuenta total'!$AD$6,0)</f>
        <v>0</v>
      </c>
      <c r="V14" s="81">
        <f>IFERROR('Cuenta total'!$AD$7,0)</f>
        <v>0</v>
      </c>
      <c r="W14" s="81">
        <f>IFERROR('Cuenta total'!$AD$8,0)</f>
        <v>0</v>
      </c>
      <c r="X14" s="81">
        <f>IFERROR('Cuenta total'!$AD$9,0)</f>
        <v>0</v>
      </c>
      <c r="Y14" s="81">
        <f>IFERROR('Cuenta total'!$AD$10,0)</f>
        <v>0</v>
      </c>
      <c r="Z14" s="81">
        <f>IFERROR('Cuenta total'!$AD$11,0)</f>
        <v>0</v>
      </c>
      <c r="AA14" s="81">
        <f>IFERROR('Cuenta total'!$AD$12,0)</f>
        <v>0</v>
      </c>
      <c r="AB14" s="81">
        <f>IFERROR('Cuenta total'!$AD$13,0)</f>
        <v>0</v>
      </c>
    </row>
    <row r="15" spans="1:44" ht="13.4" customHeight="1">
      <c r="A15" s="12" t="s">
        <v>105</v>
      </c>
      <c r="B15" s="513" t="s">
        <v>104</v>
      </c>
      <c r="C15" s="513"/>
      <c r="D15" s="513"/>
      <c r="E15" s="513"/>
      <c r="F15" s="467">
        <f>IFERROR(SUM('Cuenta total'!$AB$4:$AB$23),"Error")</f>
        <v>0</v>
      </c>
      <c r="G15" s="467"/>
      <c r="H15" s="467"/>
      <c r="I15" s="250"/>
      <c r="J15" s="250"/>
      <c r="K15" s="250"/>
      <c r="L15" s="250"/>
      <c r="M15" s="481" t="s">
        <v>84</v>
      </c>
      <c r="N15" s="482"/>
      <c r="O15" s="482"/>
      <c r="P15" s="482"/>
      <c r="Q15" s="482"/>
      <c r="R15" s="483"/>
      <c r="S15" s="81">
        <f>IFERROR('Cuenta total'!$AE$4,0)</f>
        <v>0</v>
      </c>
      <c r="T15" s="81">
        <f>IFERROR('Cuenta total'!$AE$5,0)</f>
        <v>0</v>
      </c>
      <c r="U15" s="81">
        <f>IFERROR('Cuenta total'!$AE$6,0)</f>
        <v>0</v>
      </c>
      <c r="V15" s="81">
        <f>IFERROR('Cuenta total'!$AE$7,0)</f>
        <v>0</v>
      </c>
      <c r="W15" s="81">
        <f>IFERROR('Cuenta total'!$AE$8,0)</f>
        <v>0</v>
      </c>
      <c r="X15" s="81">
        <f>IFERROR('Cuenta total'!$AE$9,0)</f>
        <v>0</v>
      </c>
      <c r="Y15" s="81">
        <f>IFERROR('Cuenta total'!$AE$10,0)</f>
        <v>0</v>
      </c>
      <c r="Z15" s="81">
        <f>IFERROR('Cuenta total'!$AE$11,0)</f>
        <v>0</v>
      </c>
      <c r="AA15" s="81">
        <f>IFERROR('Cuenta total'!$AE$12,0)</f>
        <v>0</v>
      </c>
      <c r="AB15" s="81">
        <f>IFERROR('Cuenta total'!$AE$13,0)</f>
        <v>0</v>
      </c>
    </row>
    <row r="16" spans="1:44" ht="13.4" customHeight="1">
      <c r="A16" s="12" t="s">
        <v>85</v>
      </c>
      <c r="B16" s="467" t="s">
        <v>80</v>
      </c>
      <c r="C16" s="467"/>
      <c r="D16" s="467"/>
      <c r="E16" s="467"/>
      <c r="F16" s="467">
        <f>IFERROR(SUM('Cuenta total'!$AD$4:$AD$23),"Error")</f>
        <v>0</v>
      </c>
      <c r="G16" s="467"/>
      <c r="H16" s="467"/>
      <c r="I16" s="12"/>
      <c r="J16" s="12"/>
      <c r="K16" s="12"/>
      <c r="L16" s="12"/>
      <c r="M16" s="471" t="s">
        <v>86</v>
      </c>
      <c r="N16" s="472"/>
      <c r="O16" s="472"/>
      <c r="P16" s="472"/>
      <c r="Q16" s="472"/>
      <c r="R16" s="473"/>
      <c r="S16" s="81">
        <f>IFERROR('Cuenta total'!$Z$4,0)</f>
        <v>0</v>
      </c>
      <c r="T16" s="81">
        <f>IFERROR('Cuenta total'!$Z$5,0)</f>
        <v>0</v>
      </c>
      <c r="U16" s="81">
        <f>IFERROR('Cuenta total'!$Z$6,0)</f>
        <v>0</v>
      </c>
      <c r="V16" s="81">
        <f>IFERROR('Cuenta total'!$Z$7,0)</f>
        <v>0</v>
      </c>
      <c r="W16" s="81">
        <f>IFERROR('Cuenta total'!$Z$8,0)</f>
        <v>0</v>
      </c>
      <c r="X16" s="81">
        <f>IFERROR('Cuenta total'!$Z$9,0)</f>
        <v>0</v>
      </c>
      <c r="Y16" s="81">
        <f>IFERROR('Cuenta total'!$Z$10,0)</f>
        <v>0</v>
      </c>
      <c r="Z16" s="81">
        <f>IFERROR('Cuenta total'!$Z$11,0)</f>
        <v>0</v>
      </c>
      <c r="AA16" s="81">
        <f>IFERROR('Cuenta total'!$Z$12,0)</f>
        <v>0</v>
      </c>
      <c r="AB16" s="81">
        <f>IFERROR('Cuenta total'!$Z$13,0)</f>
        <v>0</v>
      </c>
    </row>
    <row r="17" spans="1:28" ht="13.4" customHeight="1">
      <c r="A17" s="12" t="s">
        <v>87</v>
      </c>
      <c r="B17" s="467" t="s">
        <v>84</v>
      </c>
      <c r="C17" s="467"/>
      <c r="D17" s="467"/>
      <c r="E17" s="467"/>
      <c r="F17" s="467">
        <f>SUM('Cuenta total'!$AE$4:$AE$23)</f>
        <v>0</v>
      </c>
      <c r="G17" s="467"/>
      <c r="H17" s="467"/>
      <c r="I17" s="12"/>
      <c r="J17" s="12"/>
      <c r="K17" s="12"/>
      <c r="L17" s="12"/>
      <c r="M17" s="481" t="s">
        <v>88</v>
      </c>
      <c r="N17" s="482"/>
      <c r="O17" s="482"/>
      <c r="P17" s="482"/>
      <c r="Q17" s="482"/>
      <c r="R17" s="483"/>
      <c r="S17" s="81">
        <f>IFERROR('Cuenta total'!$AA$4,0)</f>
        <v>0</v>
      </c>
      <c r="T17" s="81">
        <f>IFERROR('Cuenta total'!$AA$5,0)</f>
        <v>0</v>
      </c>
      <c r="U17" s="81">
        <f>IFERROR('Cuenta total'!$AA$6,0)</f>
        <v>0</v>
      </c>
      <c r="V17" s="81">
        <f>IFERROR('Cuenta total'!$AA$7,0)</f>
        <v>0</v>
      </c>
      <c r="W17" s="81">
        <f>IFERROR('Cuenta total'!$AA$8,0)</f>
        <v>0</v>
      </c>
      <c r="X17" s="81">
        <f>IFERROR('Cuenta total'!$AA$9,0)</f>
        <v>0</v>
      </c>
      <c r="Y17" s="81">
        <f>IFERROR('Cuenta total'!$AA$10,0)</f>
        <v>0</v>
      </c>
      <c r="Z17" s="81">
        <f>IFERROR('Cuenta total'!$AA$11,0)</f>
        <v>0</v>
      </c>
      <c r="AA17" s="81">
        <f>IFERROR('Cuenta total'!$AA$12,0)</f>
        <v>0</v>
      </c>
      <c r="AB17" s="81">
        <f>IFERROR('Cuenta total'!$AA$13,0)</f>
        <v>0</v>
      </c>
    </row>
    <row r="18" spans="1:28" ht="13.4" customHeight="1">
      <c r="A18" s="12" t="s">
        <v>89</v>
      </c>
      <c r="B18" s="467" t="s">
        <v>86</v>
      </c>
      <c r="C18" s="467"/>
      <c r="D18" s="467"/>
      <c r="E18" s="467"/>
      <c r="F18" s="467">
        <f>SUM('Cuenta total'!$Z$4:$Z$23)</f>
        <v>0</v>
      </c>
      <c r="G18" s="467"/>
      <c r="H18" s="467"/>
      <c r="I18" s="12"/>
      <c r="J18" s="12"/>
      <c r="K18" s="12"/>
      <c r="L18" s="12"/>
      <c r="M18" s="481" t="s">
        <v>106</v>
      </c>
      <c r="N18" s="482"/>
      <c r="O18" s="482"/>
      <c r="P18" s="482"/>
      <c r="Q18" s="482"/>
      <c r="R18" s="483"/>
      <c r="S18" s="81">
        <f>IFERROR('Cuenta total'!$AC$4,0)</f>
        <v>0</v>
      </c>
      <c r="T18" s="81">
        <f>IFERROR('Cuenta total'!$AC$5,0)</f>
        <v>0</v>
      </c>
      <c r="U18" s="81">
        <f>IFERROR('Cuenta total'!$AC$6,0)</f>
        <v>0</v>
      </c>
      <c r="V18" s="81">
        <f>IFERROR('Cuenta total'!$AC$7,0)</f>
        <v>0</v>
      </c>
      <c r="W18" s="81">
        <f>IFERROR('Cuenta total'!$AC$8,0)</f>
        <v>0</v>
      </c>
      <c r="X18" s="81">
        <f>IFERROR('Cuenta total'!$AC$9,0)</f>
        <v>0</v>
      </c>
      <c r="Y18" s="81">
        <f>IFERROR('Cuenta total'!$AC$10,0)</f>
        <v>0</v>
      </c>
      <c r="Z18" s="81">
        <f>IFERROR('Cuenta total'!$AC$11,0)</f>
        <v>0</v>
      </c>
      <c r="AA18" s="81">
        <f>IFERROR('Cuenta total'!$AC$12,0)</f>
        <v>0</v>
      </c>
      <c r="AB18" s="81">
        <f>IFERROR('Cuenta total'!$AC$13,0)</f>
        <v>0</v>
      </c>
    </row>
    <row r="19" spans="1:28" ht="13.5" customHeight="1">
      <c r="A19" s="12" t="s">
        <v>580</v>
      </c>
      <c r="B19" s="467" t="s">
        <v>579</v>
      </c>
      <c r="C19" s="467"/>
      <c r="D19" s="467"/>
      <c r="E19" s="467"/>
      <c r="F19" s="467">
        <f>SUM('Cuenta total'!$AA$4:$AA$23)</f>
        <v>0</v>
      </c>
      <c r="G19" s="467"/>
      <c r="H19" s="467"/>
      <c r="I19" s="12"/>
      <c r="J19" s="12"/>
      <c r="K19" s="12"/>
      <c r="L19" s="12"/>
      <c r="M19" s="471" t="s">
        <v>90</v>
      </c>
      <c r="N19" s="472"/>
      <c r="O19" s="472"/>
      <c r="P19" s="472"/>
      <c r="Q19" s="472"/>
      <c r="R19" s="473"/>
      <c r="S19" s="81">
        <f>IFERROR('Cuenta total'!$AG$4,0)</f>
        <v>0</v>
      </c>
      <c r="T19" s="81">
        <f>IFERROR('Cuenta total'!$AG$5,0)</f>
        <v>0</v>
      </c>
      <c r="U19" s="81">
        <f>IFERROR('Cuenta total'!$AG$6,0)</f>
        <v>0</v>
      </c>
      <c r="V19" s="81">
        <f>IFERROR('Cuenta total'!$AG$7,0)</f>
        <v>0</v>
      </c>
      <c r="W19" s="81">
        <f>IFERROR('Cuenta total'!$AG$8,0)</f>
        <v>0</v>
      </c>
      <c r="X19" s="81">
        <f>IFERROR('Cuenta total'!$AG$9,0)</f>
        <v>0</v>
      </c>
      <c r="Y19" s="81">
        <f>IFERROR('Cuenta total'!$AG$10,0)</f>
        <v>0</v>
      </c>
      <c r="Z19" s="81">
        <f>IFERROR('Cuenta total'!$AG$11,0)</f>
        <v>0</v>
      </c>
      <c r="AA19" s="81">
        <f>IFERROR('Cuenta total'!$AG$12,0)</f>
        <v>0</v>
      </c>
      <c r="AB19" s="81">
        <f>IFERROR('Cuenta total'!$AG$13,0)</f>
        <v>0</v>
      </c>
    </row>
    <row r="20" spans="1:28" ht="13.5" customHeight="1">
      <c r="A20" s="12" t="s">
        <v>107</v>
      </c>
      <c r="B20" s="467" t="s">
        <v>106</v>
      </c>
      <c r="C20" s="467"/>
      <c r="D20" s="467"/>
      <c r="E20" s="467"/>
      <c r="F20" s="467">
        <f>IFERROR(SUM('Cuenta total'!$AC$4:$AC$23),"Error")</f>
        <v>0</v>
      </c>
      <c r="G20" s="467"/>
      <c r="H20" s="467"/>
      <c r="I20" s="12"/>
      <c r="J20" s="12"/>
      <c r="K20" s="12"/>
      <c r="L20" s="12"/>
      <c r="M20" s="471" t="s">
        <v>91</v>
      </c>
      <c r="N20" s="472"/>
      <c r="O20" s="472"/>
      <c r="P20" s="472"/>
      <c r="Q20" s="472"/>
      <c r="R20" s="473"/>
      <c r="S20" s="81">
        <f>IFERROR('Cuenta total'!$Y$4,0)</f>
        <v>0</v>
      </c>
      <c r="T20" s="81">
        <f>IFERROR('Cuenta total'!$Y$5,0)</f>
        <v>0</v>
      </c>
      <c r="U20" s="81">
        <f>IFERROR('Cuenta total'!$Y$6,0)</f>
        <v>0</v>
      </c>
      <c r="V20" s="81">
        <f>IFERROR('Cuenta total'!$Y$7,0)</f>
        <v>0</v>
      </c>
      <c r="W20" s="81">
        <f>IFERROR('Cuenta total'!$Y$8,0)</f>
        <v>0</v>
      </c>
      <c r="X20" s="81">
        <f>IFERROR('Cuenta total'!$Y$9,0)</f>
        <v>0</v>
      </c>
      <c r="Y20" s="81">
        <f>IFERROR('Cuenta total'!$Y$10,0)</f>
        <v>0</v>
      </c>
      <c r="Z20" s="81">
        <f>IFERROR('Cuenta total'!$Y$11,0)</f>
        <v>0</v>
      </c>
      <c r="AA20" s="81">
        <f>IFERROR('Cuenta total'!$Y$12,0)</f>
        <v>0</v>
      </c>
      <c r="AB20" s="81">
        <f>IFERROR('Cuenta total'!$Y$13,0)</f>
        <v>0</v>
      </c>
    </row>
    <row r="21" spans="1:28" ht="13.5" customHeight="1">
      <c r="A21" s="12" t="str">
        <f>IF('Datos de Proyecto'!D37=4.72,"N00023","-")</f>
        <v>N00023</v>
      </c>
      <c r="B21" s="467" t="str">
        <f>IF('Datos de Proyecto'!D37=4.72,"END CAP NOVOTEGRA","-")</f>
        <v>END CAP NOVOTEGRA</v>
      </c>
      <c r="C21" s="467"/>
      <c r="D21" s="467"/>
      <c r="E21" s="467"/>
      <c r="F21" s="467">
        <f>IF('Datos de Proyecto'!D37=4.72,SUM('Cuenta total'!$AG$4:$AG$23),"")</f>
        <v>0</v>
      </c>
      <c r="G21" s="467"/>
      <c r="H21" s="467"/>
      <c r="I21" s="12"/>
      <c r="J21" s="12"/>
      <c r="K21" s="12"/>
      <c r="L21" s="12"/>
      <c r="M21" s="471" t="s">
        <v>92</v>
      </c>
      <c r="N21" s="472"/>
      <c r="O21" s="472"/>
      <c r="P21" s="472"/>
      <c r="Q21" s="472"/>
      <c r="R21" s="473"/>
      <c r="S21" s="81">
        <f>IFERROR('Cuenta total'!$AF$4,0)</f>
        <v>0</v>
      </c>
      <c r="T21" s="81">
        <f>IFERROR('Cuenta total'!$AF$5,0)</f>
        <v>0</v>
      </c>
      <c r="U21" s="81">
        <f>IFERROR('Cuenta total'!$AF$6,0)</f>
        <v>0</v>
      </c>
      <c r="V21" s="81">
        <f>IFERROR('Cuenta total'!$AF$7,0)</f>
        <v>0</v>
      </c>
      <c r="W21" s="81">
        <f>IFERROR('Cuenta total'!$AF$8,0)</f>
        <v>0</v>
      </c>
      <c r="X21" s="81">
        <f>IFERROR('Cuenta total'!$AF$9,0)</f>
        <v>0</v>
      </c>
      <c r="Y21" s="81">
        <f>IFERROR('Cuenta total'!$AF$10,0)</f>
        <v>0</v>
      </c>
      <c r="Z21" s="81">
        <f>IFERROR('Cuenta total'!$AF$11,0)</f>
        <v>0</v>
      </c>
      <c r="AA21" s="81">
        <f>IFERROR('Cuenta total'!$AF$12,0)</f>
        <v>0</v>
      </c>
      <c r="AB21" s="81">
        <f>IFERROR('Cuenta total'!$AF$13,0)</f>
        <v>0</v>
      </c>
    </row>
    <row r="22" spans="1:28" ht="13.5" customHeight="1">
      <c r="A22" s="12" t="s">
        <v>93</v>
      </c>
      <c r="B22" s="467" t="s">
        <v>91</v>
      </c>
      <c r="C22" s="467"/>
      <c r="D22" s="467"/>
      <c r="E22" s="467"/>
      <c r="F22" s="467">
        <f>IF(D5="ERROR:La longitud del riel EO no puede ser mayor a 24m","ERROR",SUM('Cuenta total'!$Y$4:$Y$23))</f>
        <v>0</v>
      </c>
      <c r="G22" s="467"/>
      <c r="H22" s="467"/>
      <c r="I22" s="12"/>
      <c r="J22" s="12"/>
      <c r="K22" s="12"/>
      <c r="L22" s="12"/>
      <c r="M22" s="471" t="str">
        <f>B24</f>
        <v/>
      </c>
      <c r="N22" s="472"/>
      <c r="O22" s="472"/>
      <c r="P22" s="472"/>
      <c r="Q22" s="472"/>
      <c r="R22" s="473"/>
      <c r="S22" s="81" t="str">
        <f>IFERROR('Cuenta total'!$AH$4,0)</f>
        <v/>
      </c>
      <c r="T22" s="81" t="str">
        <f>IFERROR('Cuenta total'!$AH$5,0)</f>
        <v/>
      </c>
      <c r="U22" s="81" t="str">
        <f>IFERROR('Cuenta total'!$AH$6,0)</f>
        <v/>
      </c>
      <c r="V22" s="81" t="str">
        <f>IFERROR('Cuenta total'!$AH$7,0)</f>
        <v/>
      </c>
      <c r="W22" s="81" t="str">
        <f>IFERROR('Cuenta total'!$AH$8,0)</f>
        <v/>
      </c>
      <c r="X22" s="81" t="str">
        <f>IFERROR('Cuenta total'!$AH$9,0)</f>
        <v/>
      </c>
      <c r="Y22" s="81" t="str">
        <f>IFERROR('Cuenta total'!$AH$10,0)</f>
        <v/>
      </c>
      <c r="Z22" s="81" t="str">
        <f>IFERROR('Cuenta total'!$AH$11,0)</f>
        <v/>
      </c>
      <c r="AA22" s="81" t="str">
        <f>IFERROR('Cuenta total'!$AH$12,0)</f>
        <v/>
      </c>
      <c r="AB22" s="81" t="str">
        <f>IFERROR('Cuenta total'!$AH$13,0)</f>
        <v/>
      </c>
    </row>
    <row r="23" spans="1:28" ht="13.5" customHeight="1">
      <c r="A23" s="12" t="s">
        <v>94</v>
      </c>
      <c r="B23" s="467" t="s">
        <v>574</v>
      </c>
      <c r="C23" s="467"/>
      <c r="D23" s="467"/>
      <c r="E23" s="467"/>
      <c r="F23" s="467">
        <f>SUM('Cuenta total'!$AF$4:$AF$23)</f>
        <v>0</v>
      </c>
      <c r="G23" s="467"/>
      <c r="H23" s="467"/>
      <c r="I23" s="12"/>
      <c r="J23" s="12"/>
      <c r="K23" s="12"/>
      <c r="L23" s="12"/>
      <c r="M23" s="471">
        <f>IF('Datos de Proyecto'!D32="NOVOTEGRA M2 CLAMP","M8-1.25 X 20MM BOLT",0)</f>
        <v>0</v>
      </c>
      <c r="N23" s="472"/>
      <c r="O23" s="472"/>
      <c r="P23" s="472"/>
      <c r="Q23" s="472"/>
      <c r="R23" s="473"/>
      <c r="S23" s="81">
        <f>IF($M$23="M8-1.25 X 20MM BOLT",S22,0)</f>
        <v>0</v>
      </c>
      <c r="T23" s="81">
        <f t="shared" ref="T23:AB23" si="1">IF($M$23="M8-1.25 X 20MM BOLT",T22,0)</f>
        <v>0</v>
      </c>
      <c r="U23" s="81">
        <f t="shared" si="1"/>
        <v>0</v>
      </c>
      <c r="V23" s="81">
        <f t="shared" si="1"/>
        <v>0</v>
      </c>
      <c r="W23" s="81">
        <f t="shared" si="1"/>
        <v>0</v>
      </c>
      <c r="X23" s="81">
        <f t="shared" si="1"/>
        <v>0</v>
      </c>
      <c r="Y23" s="81">
        <f t="shared" si="1"/>
        <v>0</v>
      </c>
      <c r="Z23" s="81">
        <f t="shared" si="1"/>
        <v>0</v>
      </c>
      <c r="AA23" s="81">
        <f t="shared" si="1"/>
        <v>0</v>
      </c>
      <c r="AB23" s="81">
        <f t="shared" si="1"/>
        <v>0</v>
      </c>
    </row>
    <row r="24" spans="1:28" ht="13.5" customHeight="1">
      <c r="A24" s="12" t="str" cm="1">
        <f t="array" ref="A24">IFERROR(_xlfn.IFS(B24="NOVOTEGRA M2 CLAMP","N00021",B24="SET JT3-SB-3-8.0x85/50","M00151"),"")</f>
        <v/>
      </c>
      <c r="B24" s="522" t="str" cm="1">
        <f t="array" ref="B24">IFERROR(_xlfn.IFS('Datos de Proyecto'!D32="NOVOTEGRA M2 CLAMP",'Datos de Proyecto'!D32,'Datos de Proyecto'!D32="SET JT3-SB-3-8.0x85/50",'Datos de Proyecto'!D32),"")</f>
        <v/>
      </c>
      <c r="C24" s="522"/>
      <c r="D24" s="522"/>
      <c r="E24" s="522"/>
      <c r="F24" s="467" t="str" cm="1">
        <f t="array" ref="F24">IFERROR(_xlfn.IFS('Datos de Proyecto'!D32="NOVOTEGRA M2 CLAMP",F16,'Datos de Proyecto'!D32="SET JT3-SB-3-8.0x85/50",F16),"")</f>
        <v/>
      </c>
      <c r="G24" s="467"/>
      <c r="H24" s="467"/>
      <c r="I24" s="12"/>
      <c r="J24" s="12"/>
      <c r="K24" s="12"/>
      <c r="L24" s="12"/>
    </row>
    <row r="25" spans="1:28" ht="13.5" customHeight="1">
      <c r="A25" s="12" t="str">
        <f>IF(B25="M8-1.25 X 20MM BOLT","M00165","")</f>
        <v/>
      </c>
      <c r="B25" s="467" t="str" cm="1">
        <f t="array" ref="B25">IFERROR(_xlfn.IFS($B$24="NOVOTEGRA M2 CLAMP","M8-1.25 X 20MM BOLT",$B$24="NOVOTEGRA M1 CLAMP","M8-1.25 X 20MM BOLT"),"")</f>
        <v/>
      </c>
      <c r="C25" s="467"/>
      <c r="D25" s="467"/>
      <c r="E25" s="467"/>
      <c r="F25" s="467">
        <f>IF(B25="M8-1.25 X 20MM BOLT",F24,0)</f>
        <v>0</v>
      </c>
      <c r="G25" s="467"/>
      <c r="H25" s="467"/>
      <c r="I25" s="44"/>
      <c r="J25" s="44"/>
      <c r="K25" s="44"/>
      <c r="L25" s="44"/>
    </row>
    <row r="26" spans="1:28" ht="13.4" customHeight="1">
      <c r="A26" s="521" t="s">
        <v>108</v>
      </c>
      <c r="B26" s="521"/>
      <c r="C26" s="521"/>
      <c r="D26" s="521"/>
      <c r="E26" s="521"/>
      <c r="F26" s="521"/>
      <c r="G26" s="521"/>
      <c r="H26" s="521"/>
      <c r="I26" s="12"/>
      <c r="J26" s="12"/>
      <c r="K26" s="12"/>
      <c r="L26" s="12"/>
      <c r="M26" s="490" t="s">
        <v>134</v>
      </c>
      <c r="N26" s="491"/>
      <c r="O26" s="491"/>
      <c r="P26" s="491"/>
      <c r="Q26" s="491"/>
      <c r="R26" s="491"/>
      <c r="S26" s="491"/>
      <c r="T26" s="491"/>
      <c r="U26" s="491"/>
      <c r="V26" s="491"/>
      <c r="W26" s="491"/>
      <c r="X26" s="491"/>
      <c r="Y26" s="491"/>
      <c r="Z26" s="491"/>
      <c r="AA26" s="491"/>
      <c r="AB26" s="523"/>
    </row>
    <row r="27" spans="1:28" ht="13.5" customHeight="1">
      <c r="A27" s="521"/>
      <c r="B27" s="521"/>
      <c r="C27" s="521"/>
      <c r="D27" s="521"/>
      <c r="E27" s="521"/>
      <c r="F27" s="521"/>
      <c r="G27" s="521"/>
      <c r="H27" s="521"/>
      <c r="I27" s="249"/>
      <c r="J27" s="249"/>
      <c r="K27" s="249"/>
      <c r="L27" s="249"/>
      <c r="M27" s="527" t="s">
        <v>73</v>
      </c>
      <c r="N27" s="528"/>
      <c r="O27" s="528"/>
      <c r="P27" s="528"/>
      <c r="Q27" s="528"/>
      <c r="R27" s="529"/>
      <c r="S27" s="257">
        <v>11</v>
      </c>
      <c r="T27" s="258">
        <v>12</v>
      </c>
      <c r="U27" s="258">
        <v>13</v>
      </c>
      <c r="V27" s="258">
        <v>14</v>
      </c>
      <c r="W27" s="258">
        <v>15</v>
      </c>
      <c r="X27" s="258">
        <v>16</v>
      </c>
      <c r="Y27" s="258">
        <v>17</v>
      </c>
      <c r="Z27" s="258">
        <v>18</v>
      </c>
      <c r="AA27" s="258">
        <v>19</v>
      </c>
      <c r="AB27" s="258">
        <v>20</v>
      </c>
    </row>
    <row r="28" spans="1:28" ht="13.5" customHeight="1">
      <c r="A28" s="103" t="s">
        <v>109</v>
      </c>
      <c r="B28" s="489" t="s">
        <v>110</v>
      </c>
      <c r="C28" s="489"/>
      <c r="D28" s="489"/>
      <c r="E28" s="11" t="s">
        <v>111</v>
      </c>
      <c r="F28" s="489" t="s">
        <v>83</v>
      </c>
      <c r="G28" s="489"/>
      <c r="H28" s="489"/>
      <c r="I28" s="249"/>
      <c r="J28" s="249"/>
      <c r="K28" s="249"/>
      <c r="L28" s="249"/>
      <c r="M28" s="498" t="s">
        <v>53</v>
      </c>
      <c r="N28" s="498"/>
      <c r="O28" s="498"/>
      <c r="P28" s="498"/>
      <c r="Q28" s="498"/>
      <c r="R28" s="498"/>
      <c r="S28" s="383">
        <f>'Datos de Proyecto'!N31</f>
        <v>0</v>
      </c>
      <c r="T28" s="383">
        <f>'Datos de Proyecto'!N32</f>
        <v>0</v>
      </c>
      <c r="U28" s="383">
        <f>'Datos de Proyecto'!N33</f>
        <v>0</v>
      </c>
      <c r="V28" s="383">
        <f>'Datos de Proyecto'!N34</f>
        <v>0</v>
      </c>
      <c r="W28" s="383">
        <f>'Datos de Proyecto'!N35</f>
        <v>0</v>
      </c>
      <c r="X28" s="383">
        <f>'Datos de Proyecto'!N36</f>
        <v>0</v>
      </c>
      <c r="Y28" s="383">
        <f>'Datos de Proyecto'!N37</f>
        <v>0</v>
      </c>
      <c r="Z28" s="383">
        <f>'Datos de Proyecto'!N38</f>
        <v>0</v>
      </c>
      <c r="AA28" s="383">
        <f>'Datos de Proyecto'!N39</f>
        <v>0</v>
      </c>
      <c r="AB28" s="383">
        <f>'Datos de Proyecto'!N40</f>
        <v>0</v>
      </c>
    </row>
    <row r="29" spans="1:28" ht="13.5" customHeight="1">
      <c r="A29" s="48" t="s">
        <v>112</v>
      </c>
      <c r="B29" s="519" t="s">
        <v>135</v>
      </c>
      <c r="C29" s="519"/>
      <c r="D29" s="519"/>
      <c r="E29" s="100">
        <f>SIN((('Datos de Proyecto'!$D$34*PI()))/180)*E30*2+'Datos de Proyecto'!D33+0.1</f>
        <v>0.1</v>
      </c>
      <c r="F29" s="511" t="s">
        <v>114</v>
      </c>
      <c r="G29" s="511"/>
      <c r="H29" s="511"/>
      <c r="I29" s="250"/>
      <c r="J29" s="250"/>
      <c r="K29" s="250"/>
      <c r="L29" s="250"/>
      <c r="M29" s="498" t="s">
        <v>76</v>
      </c>
      <c r="N29" s="498"/>
      <c r="O29" s="498"/>
      <c r="P29" s="498"/>
      <c r="Q29" s="498"/>
      <c r="R29" s="498"/>
      <c r="S29" s="384">
        <f>'Datos de Proyecto'!M31</f>
        <v>0</v>
      </c>
      <c r="T29" s="384">
        <f>'Datos de Proyecto'!M32</f>
        <v>0</v>
      </c>
      <c r="U29" s="384">
        <f>'Datos de Proyecto'!M33</f>
        <v>0</v>
      </c>
      <c r="V29" s="384">
        <f>'Datos de Proyecto'!M34</f>
        <v>0</v>
      </c>
      <c r="W29" s="384">
        <f>'Datos de Proyecto'!M35</f>
        <v>0</v>
      </c>
      <c r="X29" s="384">
        <f>'Datos de Proyecto'!M36</f>
        <v>0</v>
      </c>
      <c r="Y29" s="384">
        <f>'Datos de Proyecto'!M37</f>
        <v>0</v>
      </c>
      <c r="Z29" s="384">
        <f>'Datos de Proyecto'!M38</f>
        <v>0</v>
      </c>
      <c r="AA29" s="384">
        <f>'Datos de Proyecto'!M39</f>
        <v>0</v>
      </c>
      <c r="AB29" s="384">
        <f>'Datos de Proyecto'!M40</f>
        <v>0</v>
      </c>
    </row>
    <row r="30" spans="1:28" ht="13.5" customHeight="1">
      <c r="A30" s="48" t="s">
        <v>115</v>
      </c>
      <c r="B30" s="511" t="s">
        <v>116</v>
      </c>
      <c r="C30" s="511"/>
      <c r="D30" s="511"/>
      <c r="E30" s="100">
        <f>IF('Datos de Proyecto'!M19="Vertical",'Datos de Proyecto'!D25,'Datos de Proyecto'!D26)</f>
        <v>2.3839999999999999</v>
      </c>
      <c r="F30" s="511" t="s">
        <v>114</v>
      </c>
      <c r="G30" s="511"/>
      <c r="H30" s="511"/>
      <c r="I30" s="250"/>
      <c r="J30" s="250"/>
      <c r="K30" s="250"/>
      <c r="L30" s="250"/>
      <c r="M30" s="480" t="s">
        <v>97</v>
      </c>
      <c r="N30" s="480"/>
      <c r="O30" s="480"/>
      <c r="P30" s="480"/>
      <c r="Q30" s="480"/>
      <c r="R30" s="480"/>
      <c r="S30" s="384">
        <f>S37/4</f>
        <v>0</v>
      </c>
      <c r="T30" s="384">
        <f t="shared" ref="T30:AB30" si="2">T37/4</f>
        <v>0</v>
      </c>
      <c r="U30" s="384">
        <f t="shared" si="2"/>
        <v>0</v>
      </c>
      <c r="V30" s="384">
        <f t="shared" si="2"/>
        <v>0</v>
      </c>
      <c r="W30" s="384">
        <f t="shared" si="2"/>
        <v>0</v>
      </c>
      <c r="X30" s="384">
        <f t="shared" si="2"/>
        <v>0</v>
      </c>
      <c r="Y30" s="384">
        <f t="shared" si="2"/>
        <v>0</v>
      </c>
      <c r="Z30" s="384">
        <f t="shared" si="2"/>
        <v>0</v>
      </c>
      <c r="AA30" s="384">
        <f t="shared" si="2"/>
        <v>0</v>
      </c>
      <c r="AB30" s="384">
        <f t="shared" si="2"/>
        <v>0</v>
      </c>
    </row>
    <row r="31" spans="1:28" ht="13.5" customHeight="1">
      <c r="A31" s="48" t="s">
        <v>117</v>
      </c>
      <c r="B31" s="511" t="s">
        <v>118</v>
      </c>
      <c r="C31" s="511"/>
      <c r="D31" s="511"/>
      <c r="E31" s="100">
        <f>IF('Velocidades de viento'!M23="TRUE","ERROR",E30*0.9+E30)</f>
        <v>4.5296000000000003</v>
      </c>
      <c r="F31" s="511">
        <f>$F$16/4</f>
        <v>0</v>
      </c>
      <c r="G31" s="511"/>
      <c r="H31" s="511"/>
      <c r="M31" s="480" t="s">
        <v>586</v>
      </c>
      <c r="N31" s="480"/>
      <c r="O31" s="480"/>
      <c r="P31" s="480"/>
      <c r="Q31" s="480"/>
      <c r="R31" s="480"/>
      <c r="S31" s="385">
        <f>IF('Calculo de Span'!X18="Error","ERROR",'Formula de apoyo'!$G$39)</f>
        <v>0</v>
      </c>
      <c r="T31" s="385">
        <f>IF('Calculo de Span'!X19="Error","ERROR",'Formula de apoyo'!$G$40)</f>
        <v>0</v>
      </c>
      <c r="U31" s="385">
        <f>IF('Calculo de Span'!X20="Error","ERROR",'Formula de apoyo'!$G$41)</f>
        <v>0</v>
      </c>
      <c r="V31" s="385">
        <f>IF('Calculo de Span'!X21="Error","ERROR",'Formula de apoyo'!$G$42)</f>
        <v>0</v>
      </c>
      <c r="W31" s="385">
        <f>IF('Calculo de Span'!X22="Error","ERROR",'Formula de apoyo'!$G$43)</f>
        <v>0</v>
      </c>
      <c r="X31" s="385">
        <f>IF('Calculo de Span'!X23="Error","ERROR",'Formula de apoyo'!$G$44)</f>
        <v>0</v>
      </c>
      <c r="Y31" s="385">
        <f>IF('Calculo de Span'!X24="Error","ERROR",'Formula de apoyo'!$G$45)</f>
        <v>0</v>
      </c>
      <c r="Z31" s="385">
        <f>IF('Calculo de Span'!X25="Error","ERROR",'Formula de apoyo'!$G$46)</f>
        <v>0</v>
      </c>
      <c r="AA31" s="385">
        <f>IF('Calculo de Span'!X26="Error","ERROR",'Formula de apoyo'!$G$47)</f>
        <v>0</v>
      </c>
      <c r="AB31" s="385">
        <f>IF('Calculo de Span'!X27="Error","ERROR",'Formula de apoyo'!$G$48)</f>
        <v>0</v>
      </c>
    </row>
    <row r="32" spans="1:28" ht="13.5" customHeight="1">
      <c r="A32" s="48" t="s">
        <v>119</v>
      </c>
      <c r="B32" s="511" t="s">
        <v>120</v>
      </c>
      <c r="C32" s="511"/>
      <c r="D32" s="511"/>
      <c r="E32" s="100">
        <f>IF(E35&gt;0,'Formula de apoyo'!V6*(E31-0.07)+E35/COS(E41*PI()/180),'Formula de apoyo'!V6*(E31-0.06))</f>
        <v>0</v>
      </c>
      <c r="F32" s="511">
        <f>$F$16/4</f>
        <v>0</v>
      </c>
      <c r="G32" s="511"/>
      <c r="H32" s="511"/>
      <c r="I32" s="73"/>
      <c r="J32" s="73"/>
      <c r="K32" s="73"/>
      <c r="L32" s="73"/>
      <c r="M32" s="480" t="s">
        <v>584</v>
      </c>
      <c r="N32" s="480"/>
      <c r="O32" s="480"/>
      <c r="P32" s="480"/>
      <c r="Q32" s="480"/>
      <c r="R32" s="480"/>
      <c r="S32" s="385">
        <f>+'Formula de apoyo'!$C$39</f>
        <v>0</v>
      </c>
      <c r="T32" s="385">
        <f>+'Formula de apoyo'!$C$40</f>
        <v>0</v>
      </c>
      <c r="U32" s="385">
        <f>+'Formula de apoyo'!$C$41</f>
        <v>0</v>
      </c>
      <c r="V32" s="385">
        <f>+'Formula de apoyo'!$C$42</f>
        <v>0</v>
      </c>
      <c r="W32" s="385">
        <f>+'Formula de apoyo'!$C$43</f>
        <v>0</v>
      </c>
      <c r="X32" s="385">
        <f>+'Formula de apoyo'!$C$44</f>
        <v>0</v>
      </c>
      <c r="Y32" s="385">
        <f>+'Formula de apoyo'!$C$45</f>
        <v>0</v>
      </c>
      <c r="Z32" s="385">
        <f>+'Formula de apoyo'!$C$46</f>
        <v>0</v>
      </c>
      <c r="AA32" s="385">
        <f>+'Formula de apoyo'!$C$47</f>
        <v>0</v>
      </c>
      <c r="AB32" s="385">
        <f>+'Formula de apoyo'!$C$48</f>
        <v>0</v>
      </c>
    </row>
    <row r="33" spans="1:44" ht="13.5" customHeight="1">
      <c r="A33" s="48" t="s">
        <v>136</v>
      </c>
      <c r="B33" s="511" t="s">
        <v>137</v>
      </c>
      <c r="C33" s="511"/>
      <c r="D33" s="511"/>
      <c r="E33" s="100">
        <f>IF(E35&gt;0,'Formula de apoyo'!V6*(E31-0.07)*2/3+E35/COS(E41*PI()/180),'Formula de apoyo'!V6*(E31-0.06)*2/3)</f>
        <v>0</v>
      </c>
      <c r="F33" s="511">
        <f>$F$16/4</f>
        <v>0</v>
      </c>
      <c r="G33" s="511"/>
      <c r="H33" s="511"/>
      <c r="I33" s="73"/>
      <c r="J33" s="73"/>
      <c r="K33" s="73"/>
      <c r="L33" s="73"/>
      <c r="M33" s="480" t="s">
        <v>585</v>
      </c>
      <c r="N33" s="480"/>
      <c r="O33" s="480"/>
      <c r="P33" s="480"/>
      <c r="Q33" s="480"/>
      <c r="R33" s="480"/>
      <c r="S33" s="385">
        <f>+'Formula de apoyo'!$D$39</f>
        <v>0</v>
      </c>
      <c r="T33" s="385">
        <f>+'Formula de apoyo'!$D$40</f>
        <v>0</v>
      </c>
      <c r="U33" s="385">
        <f>+'Formula de apoyo'!$D$41</f>
        <v>0</v>
      </c>
      <c r="V33" s="385">
        <f>+'Formula de apoyo'!$D$42</f>
        <v>0</v>
      </c>
      <c r="W33" s="385">
        <f>+'Formula de apoyo'!$D$43</f>
        <v>0</v>
      </c>
      <c r="X33" s="385">
        <f>+'Formula de apoyo'!$D$44</f>
        <v>0</v>
      </c>
      <c r="Y33" s="385">
        <f>+'Formula de apoyo'!$D$45</f>
        <v>0</v>
      </c>
      <c r="Z33" s="385">
        <f>+'Formula de apoyo'!$D$46</f>
        <v>0</v>
      </c>
      <c r="AA33" s="385">
        <f>+'Formula de apoyo'!$D$47</f>
        <v>0</v>
      </c>
      <c r="AB33" s="385">
        <f>+'Formula de apoyo'!$D$48</f>
        <v>0</v>
      </c>
    </row>
    <row r="34" spans="1:44" ht="13.5" customHeight="1">
      <c r="A34" s="48" t="s">
        <v>138</v>
      </c>
      <c r="B34" s="511" t="s">
        <v>139</v>
      </c>
      <c r="C34" s="511"/>
      <c r="D34" s="511"/>
      <c r="E34" s="100">
        <f>IF(E35&gt;0,'Formula de apoyo'!V6*(E31-0.07)*1/3+E35/COS(E41*PI()/180),'Formula de apoyo'!V6*(E31-0.06)*1/3)</f>
        <v>0</v>
      </c>
      <c r="F34" s="511">
        <f>$F$16/4</f>
        <v>0</v>
      </c>
      <c r="G34" s="511"/>
      <c r="H34" s="511"/>
      <c r="I34" s="73"/>
      <c r="J34" s="73"/>
      <c r="K34" s="73"/>
      <c r="L34" s="73"/>
      <c r="M34" s="480" t="s">
        <v>587</v>
      </c>
      <c r="N34" s="480"/>
      <c r="O34" s="480"/>
      <c r="P34" s="480"/>
      <c r="Q34" s="480"/>
      <c r="R34" s="480"/>
      <c r="S34" s="384">
        <f>'Formula de apoyo'!A39*S29</f>
        <v>0</v>
      </c>
      <c r="T34" s="384">
        <f>'Formula de apoyo'!A40*T29</f>
        <v>0</v>
      </c>
      <c r="U34" s="384">
        <f>'Formula de apoyo'!A41*U29</f>
        <v>0</v>
      </c>
      <c r="V34" s="384">
        <f>'Formula de apoyo'!A42*V29</f>
        <v>0</v>
      </c>
      <c r="W34" s="384">
        <f>'Formula de apoyo'!A43*W29</f>
        <v>0</v>
      </c>
      <c r="X34" s="384">
        <f>'Formula de apoyo'!A44*X29</f>
        <v>0</v>
      </c>
      <c r="Y34" s="384">
        <f>'Formula de apoyo'!A45*Y29</f>
        <v>0</v>
      </c>
      <c r="Z34" s="384">
        <f>'Formula de apoyo'!A46*Z29</f>
        <v>0</v>
      </c>
      <c r="AA34" s="384">
        <f>'Formula de apoyo'!A47*AA29</f>
        <v>0</v>
      </c>
      <c r="AB34" s="384">
        <f>'Formula de apoyo'!A48*AB29</f>
        <v>0</v>
      </c>
    </row>
    <row r="35" spans="1:44" ht="13.5" customHeight="1" thickBot="1">
      <c r="A35" s="48" t="s">
        <v>121</v>
      </c>
      <c r="B35" s="511" t="s">
        <v>122</v>
      </c>
      <c r="C35" s="511"/>
      <c r="D35" s="511"/>
      <c r="E35" s="100">
        <f>IF('Datos de Proyecto'!D33&gt;0,'Datos de Proyecto'!D33,0)</f>
        <v>0</v>
      </c>
      <c r="F35" s="511">
        <f>IF('Datos de Proyecto'!D33&gt;0,F31,0)</f>
        <v>0</v>
      </c>
      <c r="G35" s="511"/>
      <c r="H35" s="511"/>
      <c r="I35" s="73"/>
      <c r="J35" s="73"/>
      <c r="K35" s="73"/>
      <c r="L35" s="73"/>
      <c r="M35" s="532" t="s">
        <v>79</v>
      </c>
      <c r="N35" s="532"/>
      <c r="O35" s="532"/>
      <c r="P35" s="532"/>
      <c r="Q35" s="532"/>
      <c r="R35" s="532"/>
      <c r="S35" s="386">
        <f>IFERROR(IF('Datos de Proyecto'!M31&lt;&gt;0,VLOOKUP('Datos de Proyecto'!N31,'Calculo de Span'!$M$8:$V$27,9,FALSE),0),"Error")</f>
        <v>0</v>
      </c>
      <c r="T35" s="386">
        <f>IF('Datos de Proyecto'!M32&lt;&gt;0,VLOOKUP('Datos de Proyecto'!N32,'Calculo de Span'!$M$8:$V$27,9,FALSE),0)</f>
        <v>0</v>
      </c>
      <c r="U35" s="386">
        <f>IF('Datos de Proyecto'!M33&lt;&gt;0,VLOOKUP('Datos de Proyecto'!N33,'Calculo de Span'!$M$8:$V$27,9,FALSE),0)</f>
        <v>0</v>
      </c>
      <c r="V35" s="386">
        <f>IF('Datos de Proyecto'!M34&lt;&gt;0,VLOOKUP('Datos de Proyecto'!N34,'Calculo de Span'!$M$8:$V$27,9,FALSE),0)</f>
        <v>0</v>
      </c>
      <c r="W35" s="386">
        <f>IF('Datos de Proyecto'!M35&lt;&gt;0,VLOOKUP('Datos de Proyecto'!N35,'Calculo de Span'!$M$8:$V$27,9,FALSE),0)</f>
        <v>0</v>
      </c>
      <c r="X35" s="386">
        <f>IF('Datos de Proyecto'!M36&lt;&gt;0,VLOOKUP('Datos de Proyecto'!N36,'Calculo de Span'!$M$8:$V$27,9,FALSE),0)</f>
        <v>0</v>
      </c>
      <c r="Y35" s="386">
        <f>IF('Datos de Proyecto'!M37&lt;&gt;0,VLOOKUP('Datos de Proyecto'!N37,'Calculo de Span'!$M$8:$V$27,9,FALSE),0)</f>
        <v>0</v>
      </c>
      <c r="Z35" s="386">
        <f>IF('Datos de Proyecto'!M38&lt;&gt;0,VLOOKUP('Datos de Proyecto'!N38,'Calculo de Span'!$M$8:$V$27,9,FALSE),0)</f>
        <v>0</v>
      </c>
      <c r="AA35" s="386">
        <f>IF('Datos de Proyecto'!M39&lt;&gt;0,VLOOKUP('Datos de Proyecto'!N39,'Calculo de Span'!$M$8:$V$27,9,FALSE),0)</f>
        <v>0</v>
      </c>
      <c r="AB35" s="386">
        <f>IF('Datos de Proyecto'!M40&lt;&gt;0,VLOOKUP('Datos de Proyecto'!N40,'Calculo de Span'!$M$8:$V$27,9,FALSE),0)</f>
        <v>0</v>
      </c>
    </row>
    <row r="36" spans="1:44" ht="13.5" customHeight="1" thickTop="1">
      <c r="A36" s="48" t="s">
        <v>123</v>
      </c>
      <c r="B36" s="511" t="s">
        <v>102</v>
      </c>
      <c r="C36" s="511"/>
      <c r="D36" s="511"/>
      <c r="E36" s="100" t="s">
        <v>114</v>
      </c>
      <c r="F36" s="511">
        <f>+'Cuenta total'!$AI$24</f>
        <v>0</v>
      </c>
      <c r="G36" s="511"/>
      <c r="H36" s="511"/>
      <c r="I36" s="73"/>
      <c r="J36" s="73"/>
      <c r="K36" s="73"/>
      <c r="L36" s="73"/>
      <c r="M36" s="506" t="s">
        <v>104</v>
      </c>
      <c r="N36" s="507"/>
      <c r="O36" s="507"/>
      <c r="P36" s="507"/>
      <c r="Q36" s="507"/>
      <c r="R36" s="508"/>
      <c r="S36" s="98">
        <f>IFERROR('Cuenta total'!$AB$14,0)</f>
        <v>0</v>
      </c>
      <c r="T36" s="98">
        <f>IFERROR('Cuenta total'!$AB$15,0)</f>
        <v>0</v>
      </c>
      <c r="U36" s="98">
        <f>IFERROR('Cuenta total'!$AB$16,0)</f>
        <v>0</v>
      </c>
      <c r="V36" s="98">
        <f>IFERROR('Cuenta total'!$AB$17,0)</f>
        <v>0</v>
      </c>
      <c r="W36" s="98">
        <f>IFERROR('Cuenta total'!$AB$18,0)</f>
        <v>0</v>
      </c>
      <c r="X36" s="98">
        <f>IFERROR('Cuenta total'!$AB$19,0)</f>
        <v>0</v>
      </c>
      <c r="Y36" s="98">
        <f>IFERROR('Cuenta total'!$AB$20,0)</f>
        <v>0</v>
      </c>
      <c r="Z36" s="98">
        <f>IFERROR('Cuenta total'!$AB$21,0)</f>
        <v>0</v>
      </c>
      <c r="AA36" s="98">
        <f>IFERROR('Cuenta total'!$AB$22,0)</f>
        <v>0</v>
      </c>
      <c r="AB36" s="98">
        <f>IFERROR('Cuenta total'!$AB$23,0)</f>
        <v>0</v>
      </c>
      <c r="AC36" s="7"/>
      <c r="AD36" s="7"/>
      <c r="AE36" s="7"/>
      <c r="AF36" s="7"/>
      <c r="AG36" s="7"/>
      <c r="AH36" s="7"/>
      <c r="AI36" s="7"/>
      <c r="AJ36" s="7"/>
      <c r="AK36" s="7"/>
      <c r="AL36" s="7"/>
      <c r="AM36" s="7"/>
      <c r="AN36" s="7"/>
      <c r="AO36" s="7"/>
      <c r="AP36" s="7"/>
      <c r="AQ36" s="7"/>
      <c r="AR36" s="7"/>
    </row>
    <row r="37" spans="1:44" ht="13.5" customHeight="1">
      <c r="A37" s="48" t="s">
        <v>124</v>
      </c>
      <c r="B37" s="511" t="s">
        <v>103</v>
      </c>
      <c r="C37" s="511"/>
      <c r="D37" s="511"/>
      <c r="E37" s="100" t="s">
        <v>114</v>
      </c>
      <c r="F37" s="511" t="str">
        <f>IF('Datos de Proyecto'!D33&gt;0,+'Cuenta total'!$AI$24,"")</f>
        <v/>
      </c>
      <c r="G37" s="511"/>
      <c r="H37" s="511"/>
      <c r="I37" s="73"/>
      <c r="J37" s="73"/>
      <c r="K37" s="73"/>
      <c r="L37" s="73"/>
      <c r="M37" s="471" t="s">
        <v>80</v>
      </c>
      <c r="N37" s="472"/>
      <c r="O37" s="472"/>
      <c r="P37" s="472"/>
      <c r="Q37" s="472"/>
      <c r="R37" s="473"/>
      <c r="S37" s="81">
        <f>IFERROR('Cuenta total'!$AD$14,0)</f>
        <v>0</v>
      </c>
      <c r="T37" s="81">
        <f>IFERROR('Cuenta total'!$AD$15,0)</f>
        <v>0</v>
      </c>
      <c r="U37" s="81">
        <f>IFERROR('Cuenta total'!$AD$16,0)</f>
        <v>0</v>
      </c>
      <c r="V37" s="81">
        <f>IFERROR('Cuenta total'!$AD$17,0)</f>
        <v>0</v>
      </c>
      <c r="W37" s="81">
        <f>IFERROR('Cuenta total'!$AD$18,0)</f>
        <v>0</v>
      </c>
      <c r="X37" s="81">
        <f>IFERROR('Cuenta total'!$AD$19,0)</f>
        <v>0</v>
      </c>
      <c r="Y37" s="81">
        <f>IFERROR('Cuenta total'!$AD$20,0)</f>
        <v>0</v>
      </c>
      <c r="Z37" s="81">
        <f>IFERROR('Cuenta total'!$AD$21,0)</f>
        <v>0</v>
      </c>
      <c r="AA37" s="81">
        <f>IFERROR('Cuenta total'!$AD$22,0)</f>
        <v>0</v>
      </c>
      <c r="AB37" s="81">
        <f>IFERROR('Cuenta total'!$AD$23,0)</f>
        <v>0</v>
      </c>
      <c r="AC37" s="7"/>
      <c r="AD37" s="7"/>
      <c r="AE37" s="7"/>
      <c r="AF37" s="7"/>
      <c r="AG37" s="7"/>
      <c r="AH37" s="7"/>
      <c r="AI37" s="7"/>
      <c r="AJ37" s="7"/>
      <c r="AK37" s="7"/>
      <c r="AL37" s="7"/>
      <c r="AM37" s="7"/>
      <c r="AN37" s="7"/>
      <c r="AO37" s="7"/>
      <c r="AP37" s="7"/>
      <c r="AQ37" s="7"/>
      <c r="AR37" s="7"/>
    </row>
    <row r="38" spans="1:44" ht="13.5" customHeight="1">
      <c r="A38" s="48" t="s">
        <v>125</v>
      </c>
      <c r="B38" s="511" t="s">
        <v>140</v>
      </c>
      <c r="C38" s="511"/>
      <c r="D38" s="511"/>
      <c r="E38" s="100">
        <f>IF('Datos de Proyecto'!$D$33&gt;0,SQRT(((E35+0.035)/TAN((90-ATAN(((E31*1/3)-2*0.025*COS(E41*PI()/180))/(E34+0.025))*180/PI()-E41)*PI()/180))^2+(E35-0.2)^2),0)*0.93</f>
        <v>0</v>
      </c>
      <c r="F38" s="511" t="str">
        <f>IF(E38=0,"",$F$16/4)</f>
        <v/>
      </c>
      <c r="G38" s="511"/>
      <c r="H38" s="511"/>
      <c r="I38" s="73"/>
      <c r="J38" s="73"/>
      <c r="K38" s="73"/>
      <c r="L38" s="73"/>
      <c r="M38" s="481" t="s">
        <v>84</v>
      </c>
      <c r="N38" s="482"/>
      <c r="O38" s="482"/>
      <c r="P38" s="482"/>
      <c r="Q38" s="482"/>
      <c r="R38" s="483"/>
      <c r="S38" s="81">
        <f>IFERROR('Cuenta total'!$AE$14,0)</f>
        <v>0</v>
      </c>
      <c r="T38" s="81">
        <f>IFERROR('Cuenta total'!$AE$15,0)</f>
        <v>0</v>
      </c>
      <c r="U38" s="81">
        <f>IFERROR('Cuenta total'!$AE$16,0)</f>
        <v>0</v>
      </c>
      <c r="V38" s="81">
        <f>IFERROR('Cuenta total'!$AE$17,0)</f>
        <v>0</v>
      </c>
      <c r="W38" s="81">
        <f>IFERROR('Cuenta total'!$AE$18,0)</f>
        <v>0</v>
      </c>
      <c r="X38" s="81">
        <f>IFERROR('Cuenta total'!$AE$19,0)</f>
        <v>0</v>
      </c>
      <c r="Y38" s="81">
        <f>IFERROR('Cuenta total'!$AE$20,0)</f>
        <v>0</v>
      </c>
      <c r="Z38" s="81">
        <f>IFERROR('Cuenta total'!$AE$21,0)</f>
        <v>0</v>
      </c>
      <c r="AA38" s="81">
        <f>IFERROR('Cuenta total'!$AE$22,0)</f>
        <v>0</v>
      </c>
      <c r="AB38" s="81">
        <f>IFERROR('Cuenta total'!$AE$23,0)</f>
        <v>0</v>
      </c>
      <c r="AC38" s="7"/>
      <c r="AD38" s="7"/>
      <c r="AE38" s="7"/>
      <c r="AF38" s="7"/>
      <c r="AG38" s="7"/>
      <c r="AH38" s="7"/>
      <c r="AI38" s="7"/>
      <c r="AJ38" s="7"/>
      <c r="AK38" s="7"/>
      <c r="AL38" s="7"/>
      <c r="AM38" s="7"/>
      <c r="AN38" s="7"/>
      <c r="AO38" s="7"/>
      <c r="AP38" s="7"/>
      <c r="AQ38" s="7"/>
      <c r="AR38" s="7"/>
    </row>
    <row r="39" spans="1:44" ht="13.5" customHeight="1">
      <c r="A39" s="48" t="s">
        <v>127</v>
      </c>
      <c r="B39" s="531" t="s">
        <v>141</v>
      </c>
      <c r="C39" s="531"/>
      <c r="D39" s="531"/>
      <c r="E39" s="382">
        <f>'Formula de apoyo'!Y6</f>
        <v>1.4</v>
      </c>
      <c r="F39" s="511" t="s">
        <v>114</v>
      </c>
      <c r="G39" s="511"/>
      <c r="H39" s="511"/>
      <c r="I39" s="73"/>
      <c r="J39" s="73"/>
      <c r="K39" s="73"/>
      <c r="L39" s="73"/>
      <c r="M39" s="471" t="s">
        <v>86</v>
      </c>
      <c r="N39" s="472"/>
      <c r="O39" s="472"/>
      <c r="P39" s="472"/>
      <c r="Q39" s="472"/>
      <c r="R39" s="473"/>
      <c r="S39" s="81">
        <f>IFERROR('Cuenta total'!$Z$14,0)</f>
        <v>0</v>
      </c>
      <c r="T39" s="81">
        <f>IFERROR('Cuenta total'!$Z$15,0)</f>
        <v>0</v>
      </c>
      <c r="U39" s="81">
        <f>IFERROR('Cuenta total'!$Z$16,0)</f>
        <v>0</v>
      </c>
      <c r="V39" s="81">
        <f>IFERROR('Cuenta total'!$Z$17,0)</f>
        <v>0</v>
      </c>
      <c r="W39" s="81">
        <f>IFERROR('Cuenta total'!$Z$18,0)</f>
        <v>0</v>
      </c>
      <c r="X39" s="81">
        <f>IFERROR('Cuenta total'!$Z$19,0)</f>
        <v>0</v>
      </c>
      <c r="Y39" s="81">
        <f>IFERROR('Cuenta total'!$Z$20,0)</f>
        <v>0</v>
      </c>
      <c r="Z39" s="81">
        <f>IFERROR('Cuenta total'!$Z$21,0)</f>
        <v>0</v>
      </c>
      <c r="AA39" s="81">
        <f>IFERROR('Cuenta total'!$Z$22,0)</f>
        <v>0</v>
      </c>
      <c r="AB39" s="81">
        <f>IFERROR('Cuenta total'!$Z$23,0)</f>
        <v>0</v>
      </c>
      <c r="AC39" s="7"/>
      <c r="AD39" s="7"/>
      <c r="AE39" s="7"/>
      <c r="AF39" s="7"/>
      <c r="AG39" s="7"/>
      <c r="AH39" s="7"/>
      <c r="AI39" s="7"/>
      <c r="AJ39" s="7"/>
      <c r="AK39" s="7"/>
      <c r="AL39" s="7"/>
      <c r="AM39" s="7"/>
      <c r="AN39" s="7"/>
      <c r="AO39" s="7"/>
      <c r="AP39" s="7"/>
      <c r="AQ39" s="7"/>
      <c r="AR39" s="7"/>
    </row>
    <row r="40" spans="1:44" ht="13.5" customHeight="1">
      <c r="A40" s="48" t="s">
        <v>129</v>
      </c>
      <c r="B40" s="511" t="s">
        <v>142</v>
      </c>
      <c r="C40" s="511"/>
      <c r="D40" s="511"/>
      <c r="E40" s="100">
        <f>(SQRT(((E31-0.07)^2+(E32)^2)-E35^2))</f>
        <v>4.4596</v>
      </c>
      <c r="F40" s="511" t="s">
        <v>114</v>
      </c>
      <c r="G40" s="511"/>
      <c r="H40" s="511"/>
      <c r="I40" s="73"/>
      <c r="J40" s="73"/>
      <c r="K40" s="73"/>
      <c r="L40" s="73"/>
      <c r="M40" s="481" t="s">
        <v>88</v>
      </c>
      <c r="N40" s="482"/>
      <c r="O40" s="482"/>
      <c r="P40" s="482"/>
      <c r="Q40" s="482"/>
      <c r="R40" s="483"/>
      <c r="S40" s="81">
        <f>IFERROR('Cuenta total'!$AA$14,0)</f>
        <v>0</v>
      </c>
      <c r="T40" s="81">
        <f>IFERROR('Cuenta total'!$AA$15,0)</f>
        <v>0</v>
      </c>
      <c r="U40" s="81">
        <f>IFERROR('Cuenta total'!$AA$16,0)</f>
        <v>0</v>
      </c>
      <c r="V40" s="81">
        <f>IFERROR('Cuenta total'!$AA$17,0)</f>
        <v>0</v>
      </c>
      <c r="W40" s="81">
        <f>IFERROR('Cuenta total'!$AA$18,0)</f>
        <v>0</v>
      </c>
      <c r="X40" s="81">
        <f>IFERROR('Cuenta total'!$AA$19,0)</f>
        <v>0</v>
      </c>
      <c r="Y40" s="81">
        <f>IFERROR('Cuenta total'!$AA$20,0)</f>
        <v>0</v>
      </c>
      <c r="Z40" s="81">
        <f>IFERROR('Cuenta total'!$AA$21,0)</f>
        <v>0</v>
      </c>
      <c r="AA40" s="81">
        <f>IFERROR('Cuenta total'!$AA$22,0)</f>
        <v>0</v>
      </c>
      <c r="AB40" s="81">
        <f>IFERROR('Cuenta total'!$AA$23,0)</f>
        <v>0</v>
      </c>
      <c r="AC40" s="7"/>
      <c r="AD40" s="7"/>
      <c r="AE40" s="7"/>
      <c r="AF40" s="7"/>
      <c r="AG40" s="7"/>
      <c r="AH40" s="7"/>
      <c r="AI40" s="7"/>
      <c r="AJ40" s="7"/>
      <c r="AK40" s="7"/>
      <c r="AL40" s="7"/>
      <c r="AM40" s="7"/>
      <c r="AN40" s="7"/>
      <c r="AO40" s="7"/>
      <c r="AP40" s="7"/>
      <c r="AQ40" s="7"/>
      <c r="AR40" s="7"/>
    </row>
    <row r="41" spans="1:44" ht="12.65" customHeight="1">
      <c r="A41" s="48" t="s">
        <v>131</v>
      </c>
      <c r="B41" s="511" t="s">
        <v>132</v>
      </c>
      <c r="C41" s="511"/>
      <c r="D41" s="511"/>
      <c r="E41" s="101">
        <f>IF('Velocidades de viento'!M23="TRUE","ERROR",'Datos de Proyecto'!D34)</f>
        <v>0</v>
      </c>
      <c r="F41" s="511" t="s">
        <v>114</v>
      </c>
      <c r="G41" s="511"/>
      <c r="H41" s="511"/>
      <c r="I41" s="73"/>
      <c r="J41" s="73"/>
      <c r="K41" s="73"/>
      <c r="L41" s="73"/>
      <c r="M41" s="481" t="s">
        <v>106</v>
      </c>
      <c r="N41" s="482"/>
      <c r="O41" s="482"/>
      <c r="P41" s="482"/>
      <c r="Q41" s="482"/>
      <c r="R41" s="483"/>
      <c r="S41" s="81">
        <f>IFERROR('Cuenta total'!$AC$14,0)</f>
        <v>0</v>
      </c>
      <c r="T41" s="81">
        <f>IFERROR('Cuenta total'!$AC$15,0)</f>
        <v>0</v>
      </c>
      <c r="U41" s="81">
        <f>IFERROR('Cuenta total'!$AC$16,0)</f>
        <v>0</v>
      </c>
      <c r="V41" s="81">
        <f>IFERROR('Cuenta total'!$AC$17,0)</f>
        <v>0</v>
      </c>
      <c r="W41" s="81">
        <f>IFERROR('Cuenta total'!$AC$18,0)</f>
        <v>0</v>
      </c>
      <c r="X41" s="81">
        <f>IFERROR('Cuenta total'!$AC$19,0)</f>
        <v>0</v>
      </c>
      <c r="Y41" s="81">
        <f>IFERROR('Cuenta total'!$AC$20,0)</f>
        <v>0</v>
      </c>
      <c r="Z41" s="81">
        <f>IFERROR('Cuenta total'!$AC$21,0)</f>
        <v>0</v>
      </c>
      <c r="AA41" s="81">
        <f>IFERROR('Cuenta total'!$AC$22,0)</f>
        <v>0</v>
      </c>
      <c r="AB41" s="81">
        <f>IFERROR('Cuenta total'!$AC$23,0)</f>
        <v>0</v>
      </c>
      <c r="AC41" s="7"/>
      <c r="AD41" s="7"/>
      <c r="AE41" s="7"/>
      <c r="AF41" s="7"/>
      <c r="AG41" s="7"/>
      <c r="AH41" s="7"/>
      <c r="AI41" s="7"/>
      <c r="AJ41" s="7"/>
      <c r="AK41" s="7"/>
      <c r="AL41" s="7"/>
      <c r="AM41" s="7"/>
      <c r="AN41" s="7"/>
      <c r="AO41" s="7"/>
      <c r="AP41" s="7"/>
      <c r="AQ41" s="7"/>
      <c r="AR41" s="7"/>
    </row>
    <row r="42" spans="1:44" ht="13.4" customHeight="1">
      <c r="I42" s="73"/>
      <c r="J42" s="73"/>
      <c r="K42" s="73"/>
      <c r="L42" s="73"/>
      <c r="M42" s="471" t="s">
        <v>90</v>
      </c>
      <c r="N42" s="472"/>
      <c r="O42" s="472"/>
      <c r="P42" s="472"/>
      <c r="Q42" s="472"/>
      <c r="R42" s="473"/>
      <c r="S42" s="81">
        <f>IFERROR('Cuenta total'!$AG$14,0)</f>
        <v>0</v>
      </c>
      <c r="T42" s="81">
        <f>IFERROR('Cuenta total'!$AG$15,0)</f>
        <v>0</v>
      </c>
      <c r="U42" s="81">
        <f>IFERROR('Cuenta total'!$AG$16,0)</f>
        <v>0</v>
      </c>
      <c r="V42" s="81">
        <f>IFERROR('Cuenta total'!$AG$17,0)</f>
        <v>0</v>
      </c>
      <c r="W42" s="81">
        <f>IFERROR('Cuenta total'!$AG$18,0)</f>
        <v>0</v>
      </c>
      <c r="X42" s="81">
        <f>IFERROR('Cuenta total'!$AG$19,0)</f>
        <v>0</v>
      </c>
      <c r="Y42" s="81">
        <f>IFERROR('Cuenta total'!$AG$20,0)</f>
        <v>0</v>
      </c>
      <c r="Z42" s="81">
        <f>IFERROR('Cuenta total'!$AG$21,0)</f>
        <v>0</v>
      </c>
      <c r="AA42" s="81">
        <f>IFERROR('Cuenta total'!$AG$22,0)</f>
        <v>0</v>
      </c>
      <c r="AB42" s="81">
        <f>IFERROR('Cuenta total'!$AG$23,0)</f>
        <v>0</v>
      </c>
      <c r="AC42" s="7"/>
      <c r="AD42" s="7"/>
      <c r="AE42" s="7"/>
      <c r="AF42" s="7"/>
      <c r="AG42" s="7"/>
      <c r="AH42" s="7"/>
      <c r="AI42" s="7"/>
      <c r="AJ42" s="7"/>
      <c r="AK42" s="7"/>
      <c r="AL42" s="7"/>
      <c r="AM42" s="7"/>
      <c r="AN42" s="7"/>
      <c r="AO42" s="7"/>
      <c r="AP42" s="7"/>
      <c r="AQ42" s="7"/>
      <c r="AR42" s="7"/>
    </row>
    <row r="43" spans="1:44" ht="13.5" customHeight="1">
      <c r="I43" s="73"/>
      <c r="J43" s="73"/>
      <c r="K43" s="73"/>
      <c r="L43" s="73"/>
      <c r="M43" s="471" t="s">
        <v>91</v>
      </c>
      <c r="N43" s="472"/>
      <c r="O43" s="472"/>
      <c r="P43" s="472"/>
      <c r="Q43" s="472"/>
      <c r="R43" s="473"/>
      <c r="S43" s="81">
        <f>IFERROR('Cuenta total'!$Y$14,0)</f>
        <v>0</v>
      </c>
      <c r="T43" s="81">
        <f>IFERROR('Cuenta total'!$Y$15,0)</f>
        <v>0</v>
      </c>
      <c r="U43" s="81">
        <f>IFERROR('Cuenta total'!$Y$16,0)</f>
        <v>0</v>
      </c>
      <c r="V43" s="81">
        <f>IFERROR('Cuenta total'!$Y$17,0)</f>
        <v>0</v>
      </c>
      <c r="W43" s="81">
        <f>IFERROR('Cuenta total'!$Y$18,0)</f>
        <v>0</v>
      </c>
      <c r="X43" s="81">
        <f>IFERROR('Cuenta total'!$Y$19,0)</f>
        <v>0</v>
      </c>
      <c r="Y43" s="81">
        <f>IFERROR('Cuenta total'!$Y$20,0)</f>
        <v>0</v>
      </c>
      <c r="Z43" s="81">
        <f>IFERROR('Cuenta total'!$Y$21,0)</f>
        <v>0</v>
      </c>
      <c r="AA43" s="81">
        <f>IFERROR('Cuenta total'!$Y$22,0)</f>
        <v>0</v>
      </c>
      <c r="AB43" s="81">
        <f>IFERROR('Cuenta total'!$Y$23,0)</f>
        <v>0</v>
      </c>
    </row>
    <row r="44" spans="1:44" ht="13.5" customHeight="1">
      <c r="M44" s="471" t="s">
        <v>92</v>
      </c>
      <c r="N44" s="472"/>
      <c r="O44" s="472"/>
      <c r="P44" s="472"/>
      <c r="Q44" s="472"/>
      <c r="R44" s="473"/>
      <c r="S44" s="81">
        <f>IFERROR('Cuenta total'!$AF$14,0)</f>
        <v>0</v>
      </c>
      <c r="T44" s="81">
        <f>IFERROR('Cuenta total'!$AF$15,0)</f>
        <v>0</v>
      </c>
      <c r="U44" s="81">
        <f>IFERROR('Cuenta total'!$AF$16,0)</f>
        <v>0</v>
      </c>
      <c r="V44" s="81">
        <f>IFERROR('Cuenta total'!$AF$17,0)</f>
        <v>0</v>
      </c>
      <c r="W44" s="81">
        <f>IFERROR('Cuenta total'!$AF$18,0)</f>
        <v>0</v>
      </c>
      <c r="X44" s="81">
        <f>IFERROR('Cuenta total'!$AF$19,0)</f>
        <v>0</v>
      </c>
      <c r="Y44" s="81">
        <f>IFERROR('Cuenta total'!$AF$20,0)</f>
        <v>0</v>
      </c>
      <c r="Z44" s="81">
        <f>IFERROR('Cuenta total'!$AF$21,0)</f>
        <v>0</v>
      </c>
      <c r="AA44" s="81">
        <f>IFERROR('Cuenta total'!$AF$22,0)</f>
        <v>0</v>
      </c>
      <c r="AB44" s="81">
        <f>IFERROR('Cuenta total'!$AF$23,0)</f>
        <v>0</v>
      </c>
    </row>
    <row r="45" spans="1:44" ht="13.5" customHeight="1">
      <c r="M45" s="471" t="str">
        <f>B24</f>
        <v/>
      </c>
      <c r="N45" s="472"/>
      <c r="O45" s="472"/>
      <c r="P45" s="472"/>
      <c r="Q45" s="472"/>
      <c r="R45" s="473"/>
      <c r="S45" s="77" t="str">
        <f>IFERROR('Cuenta total'!$AH$14,0)</f>
        <v/>
      </c>
      <c r="T45" s="77" t="str">
        <f>IFERROR('Cuenta total'!$AH$15,0)</f>
        <v/>
      </c>
      <c r="U45" s="77" t="str">
        <f>IFERROR('Cuenta total'!$AH$16,0)</f>
        <v/>
      </c>
      <c r="V45" s="77" t="str">
        <f>IFERROR('Cuenta total'!$AH$17,0)</f>
        <v/>
      </c>
      <c r="W45" s="77" t="str">
        <f>IFERROR('Cuenta total'!$AH$18,0)</f>
        <v/>
      </c>
      <c r="X45" s="77" t="str">
        <f>IFERROR('Cuenta total'!$AH$19,0)</f>
        <v/>
      </c>
      <c r="Y45" s="77" t="str">
        <f>IFERROR('Cuenta total'!$AH$20,0)</f>
        <v/>
      </c>
      <c r="Z45" s="77" t="str">
        <f>IFERROR('Cuenta total'!$AH$21,0)</f>
        <v/>
      </c>
      <c r="AA45" s="77" t="str">
        <f>IFERROR('Cuenta total'!$AH$22,0)</f>
        <v/>
      </c>
      <c r="AB45" s="77" t="str">
        <f>IFERROR('Cuenta total'!$AH$23,0)</f>
        <v/>
      </c>
    </row>
    <row r="46" spans="1:44" ht="13.5" customHeight="1">
      <c r="L46" s="399"/>
      <c r="M46" s="471">
        <f>IF('Datos de Proyecto'!D32="NOVOTEGRA M2 CLAMP","M8-1.25 X 20MM BOLT",0)</f>
        <v>0</v>
      </c>
      <c r="N46" s="472"/>
      <c r="O46" s="472"/>
      <c r="P46" s="472"/>
      <c r="Q46" s="472"/>
      <c r="R46" s="473"/>
      <c r="S46" s="77">
        <f>IF($M$46="M8-1.25 X 20MM BOLT",S45,0)</f>
        <v>0</v>
      </c>
      <c r="T46" s="77">
        <f t="shared" ref="T46:AB46" si="3">IF($M$46="M8-1.25 X 20MM BOLT",T45,0)</f>
        <v>0</v>
      </c>
      <c r="U46" s="77">
        <f t="shared" si="3"/>
        <v>0</v>
      </c>
      <c r="V46" s="77">
        <f t="shared" si="3"/>
        <v>0</v>
      </c>
      <c r="W46" s="77">
        <f t="shared" si="3"/>
        <v>0</v>
      </c>
      <c r="X46" s="77">
        <f t="shared" si="3"/>
        <v>0</v>
      </c>
      <c r="Y46" s="77">
        <f t="shared" si="3"/>
        <v>0</v>
      </c>
      <c r="Z46" s="77">
        <f t="shared" si="3"/>
        <v>0</v>
      </c>
      <c r="AA46" s="77">
        <f t="shared" si="3"/>
        <v>0</v>
      </c>
      <c r="AB46" s="77">
        <f t="shared" si="3"/>
        <v>0</v>
      </c>
    </row>
    <row r="47" spans="1:44" ht="13.5" customHeight="1">
      <c r="L47" s="399"/>
    </row>
    <row r="48" spans="1:44" ht="13.5" customHeight="1">
      <c r="M48" s="398" t="str">
        <f>IF('Datos de Proyecto'!D33&gt;0, "*Recuerda que el apoyo inicial es perpendicular a la superficie a instalar","")</f>
        <v/>
      </c>
    </row>
    <row r="49" spans="3:28" ht="13.5" customHeight="1">
      <c r="M49" s="398" t="str">
        <f>IF('Datos de Proyecto'!D34&lt;1, "*Recuerda ingresar inclinación de ser necesaria","")</f>
        <v>*Recuerda ingresar inclinación de ser necesaria</v>
      </c>
    </row>
    <row r="50" spans="3:28" ht="13.5" customHeight="1"/>
    <row r="51" spans="3:28" ht="13.5" customHeight="1">
      <c r="M51" s="7"/>
      <c r="N51" s="7"/>
      <c r="O51" s="7"/>
      <c r="P51" s="7"/>
      <c r="Q51" s="7"/>
      <c r="R51" s="7"/>
      <c r="S51" s="7"/>
      <c r="T51" s="7"/>
      <c r="U51" s="7"/>
      <c r="V51" s="7"/>
      <c r="W51" s="7"/>
      <c r="X51" s="7"/>
      <c r="Y51" s="7"/>
      <c r="Z51" s="7"/>
      <c r="AA51" s="7"/>
      <c r="AB51" s="7"/>
    </row>
    <row r="52" spans="3:28">
      <c r="C52" s="502"/>
      <c r="D52" s="502"/>
      <c r="E52" s="502"/>
      <c r="M52" s="7"/>
      <c r="N52" s="7"/>
      <c r="O52" s="7"/>
      <c r="P52" s="7"/>
      <c r="Q52" s="7"/>
      <c r="R52" s="7"/>
      <c r="S52" s="7"/>
      <c r="T52" s="7"/>
      <c r="U52" s="7"/>
      <c r="V52" s="7"/>
      <c r="W52" s="7"/>
      <c r="X52" s="7"/>
      <c r="Y52" s="7"/>
      <c r="Z52" s="7"/>
      <c r="AA52" s="7"/>
      <c r="AB52" s="7"/>
    </row>
    <row r="53" spans="3:28" ht="30" customHeight="1">
      <c r="M53" s="7"/>
      <c r="N53" s="7"/>
      <c r="O53" s="7"/>
      <c r="P53" s="7"/>
      <c r="Q53" s="7"/>
      <c r="R53" s="7"/>
      <c r="S53" s="7"/>
      <c r="T53" s="7"/>
      <c r="U53" s="7"/>
      <c r="V53" s="7"/>
      <c r="W53" s="7"/>
      <c r="X53" s="7"/>
      <c r="Y53" s="7"/>
      <c r="Z53" s="7"/>
      <c r="AA53" s="7"/>
      <c r="AB53" s="7"/>
    </row>
    <row r="54" spans="3:28">
      <c r="M54" s="7"/>
      <c r="N54" s="7"/>
      <c r="O54" s="7"/>
      <c r="P54" s="7"/>
      <c r="Q54" s="7"/>
      <c r="R54" s="7"/>
      <c r="S54" s="7"/>
      <c r="T54" s="7"/>
      <c r="U54" s="7"/>
      <c r="V54" s="7"/>
      <c r="W54" s="7"/>
      <c r="X54" s="7"/>
      <c r="Y54" s="7"/>
      <c r="Z54" s="7"/>
      <c r="AA54" s="7"/>
      <c r="AB54" s="7"/>
    </row>
    <row r="55" spans="3:28">
      <c r="M55" s="7"/>
      <c r="N55" s="7"/>
      <c r="O55" s="7"/>
      <c r="P55" s="7"/>
      <c r="Q55" s="7"/>
      <c r="R55" s="7"/>
      <c r="S55" s="7"/>
      <c r="T55" s="7"/>
      <c r="U55" s="7"/>
      <c r="V55" s="7"/>
      <c r="W55" s="7"/>
      <c r="X55" s="7"/>
      <c r="Y55" s="7"/>
      <c r="Z55" s="7"/>
      <c r="AA55" s="7"/>
      <c r="AB55" s="7"/>
    </row>
    <row r="56" spans="3:28">
      <c r="M56" s="7"/>
      <c r="N56" s="7"/>
      <c r="O56" s="7"/>
      <c r="P56" s="7"/>
      <c r="Q56" s="7"/>
      <c r="R56" s="7"/>
      <c r="S56" s="7"/>
      <c r="T56" s="7"/>
      <c r="U56" s="7"/>
      <c r="V56" s="7"/>
      <c r="W56" s="7"/>
      <c r="X56" s="7"/>
      <c r="Y56" s="7"/>
      <c r="Z56" s="7"/>
      <c r="AA56" s="7"/>
      <c r="AB56" s="7"/>
    </row>
  </sheetData>
  <sheetProtection algorithmName="SHA-512" hashValue="pC1qNgYb4KvRAtHwZrvpDMNyOSKOiA7qPWx8szCrCkVoUDdiWwk8/cR/RYhZ96Dj5BNXmZQ8lZc1wvxko69jyQ==" saltValue="maj0CWDxIJlWYFuCEVl4Kg==" spinCount="100000" sheet="1" selectLockedCells="1" selectUnlockedCells="1"/>
  <mergeCells count="104">
    <mergeCell ref="M46:R46"/>
    <mergeCell ref="M11:R11"/>
    <mergeCell ref="M34:R34"/>
    <mergeCell ref="A12:H13"/>
    <mergeCell ref="B14:E14"/>
    <mergeCell ref="B19:E19"/>
    <mergeCell ref="B18:E18"/>
    <mergeCell ref="B17:E17"/>
    <mergeCell ref="F3:J10"/>
    <mergeCell ref="D5:E7"/>
    <mergeCell ref="M43:R43"/>
    <mergeCell ref="B30:D30"/>
    <mergeCell ref="B37:D37"/>
    <mergeCell ref="B38:D38"/>
    <mergeCell ref="B39:D39"/>
    <mergeCell ref="M35:R35"/>
    <mergeCell ref="M30:R30"/>
    <mergeCell ref="F18:H18"/>
    <mergeCell ref="M44:R44"/>
    <mergeCell ref="M40:R40"/>
    <mergeCell ref="M29:R29"/>
    <mergeCell ref="M41:R41"/>
    <mergeCell ref="F28:H28"/>
    <mergeCell ref="M38:R38"/>
    <mergeCell ref="M1:AB2"/>
    <mergeCell ref="M27:R27"/>
    <mergeCell ref="M28:R28"/>
    <mergeCell ref="M7:R7"/>
    <mergeCell ref="F25:H25"/>
    <mergeCell ref="F24:H24"/>
    <mergeCell ref="F23:H23"/>
    <mergeCell ref="M26:AB26"/>
    <mergeCell ref="A26:H27"/>
    <mergeCell ref="B25:E25"/>
    <mergeCell ref="B24:E24"/>
    <mergeCell ref="B23:E23"/>
    <mergeCell ref="B22:E22"/>
    <mergeCell ref="B21:E21"/>
    <mergeCell ref="F22:H22"/>
    <mergeCell ref="F17:H17"/>
    <mergeCell ref="F20:H20"/>
    <mergeCell ref="B28:D28"/>
    <mergeCell ref="B20:E20"/>
    <mergeCell ref="M23:R23"/>
    <mergeCell ref="B16:E16"/>
    <mergeCell ref="B15:E15"/>
    <mergeCell ref="F14:H14"/>
    <mergeCell ref="F15:H15"/>
    <mergeCell ref="M32:R32"/>
    <mergeCell ref="M33:R33"/>
    <mergeCell ref="F41:H41"/>
    <mergeCell ref="AQ10:AR10"/>
    <mergeCell ref="M21:R21"/>
    <mergeCell ref="M22:R22"/>
    <mergeCell ref="AN12:AP12"/>
    <mergeCell ref="AQ12:AR12"/>
    <mergeCell ref="M19:R19"/>
    <mergeCell ref="M20:R20"/>
    <mergeCell ref="AN10:AP10"/>
    <mergeCell ref="M14:R14"/>
    <mergeCell ref="M15:R15"/>
    <mergeCell ref="M16:R16"/>
    <mergeCell ref="M17:R17"/>
    <mergeCell ref="M45:R45"/>
    <mergeCell ref="F21:H21"/>
    <mergeCell ref="F19:H19"/>
    <mergeCell ref="M3:AB3"/>
    <mergeCell ref="M4:R4"/>
    <mergeCell ref="M6:R6"/>
    <mergeCell ref="M13:R13"/>
    <mergeCell ref="M12:R12"/>
    <mergeCell ref="M5:R5"/>
    <mergeCell ref="M8:R8"/>
    <mergeCell ref="M9:R9"/>
    <mergeCell ref="M10:R10"/>
    <mergeCell ref="M18:R18"/>
    <mergeCell ref="F16:H16"/>
    <mergeCell ref="M42:R42"/>
    <mergeCell ref="F31:H31"/>
    <mergeCell ref="F29:H29"/>
    <mergeCell ref="F30:H30"/>
    <mergeCell ref="F33:H33"/>
    <mergeCell ref="F34:H34"/>
    <mergeCell ref="M39:R39"/>
    <mergeCell ref="M36:R36"/>
    <mergeCell ref="M37:R37"/>
    <mergeCell ref="M31:R31"/>
    <mergeCell ref="B33:D33"/>
    <mergeCell ref="B34:D34"/>
    <mergeCell ref="B29:D29"/>
    <mergeCell ref="B31:D31"/>
    <mergeCell ref="B32:D32"/>
    <mergeCell ref="F32:H32"/>
    <mergeCell ref="C52:E52"/>
    <mergeCell ref="B41:D41"/>
    <mergeCell ref="F37:H37"/>
    <mergeCell ref="F35:H35"/>
    <mergeCell ref="F36:H36"/>
    <mergeCell ref="F38:H38"/>
    <mergeCell ref="F39:H39"/>
    <mergeCell ref="F40:H40"/>
    <mergeCell ref="B35:D35"/>
    <mergeCell ref="B36:D36"/>
    <mergeCell ref="B40:D40"/>
  </mergeCells>
  <dataValidations count="2">
    <dataValidation type="custom" allowBlank="1" showInputMessage="1" showErrorMessage="1" errorTitle="Advertencia" error="No se puede realizar una instalacion con las condiciones propuestas favor de bajar en angulo de inclinacion." sqref="S12 S35" xr:uid="{554EF6D7-C9CD-49DB-AC4F-EC3302AA82AE}">
      <formula1>IF(S12="Error","Advertencia",S12)</formula1>
    </dataValidation>
    <dataValidation allowBlank="1" showInputMessage="1" showErrorMessage="1" errorTitle="Error" error="No se puede hacer una instalacion en las condiciones planteadas , favor de bajar los grados de inclinacion" sqref="I16:L16 F15:H15" xr:uid="{2FBEDEEE-F4F3-4B40-8000-3587956FCD91}"/>
  </dataValidations>
  <pageMargins left="0.25" right="0.25" top="0.75" bottom="0.75" header="0.3" footer="0.3"/>
  <pageSetup orientation="portrait" r:id="rId1"/>
  <headerFooter>
    <oddHeader>&amp;L&amp;G&amp;C&amp;"BayWa Sans Book,Negrita"&amp;16&amp;K278C46Flat Roof - Doble Row&amp;R&amp;"BayWa Sans Book,Normal"&amp;D
&amp;T</oddHeader>
    <oddFooter>&amp;R&amp;P</oddFooter>
  </headerFooter>
  <drawing r:id="rId2"/>
  <legacy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1E424-53BB-4E87-9F3D-8CEDDEB23527}">
  <sheetPr codeName="Hoja6"/>
  <dimension ref="A1:AO49"/>
  <sheetViews>
    <sheetView showZeros="0" tabSelected="1" zoomScale="80" zoomScaleNormal="80" zoomScalePageLayoutView="80" workbookViewId="0">
      <selection activeCell="M15" sqref="M15"/>
    </sheetView>
  </sheetViews>
  <sheetFormatPr defaultColWidth="10.81640625" defaultRowHeight="14.5"/>
  <cols>
    <col min="1" max="2" width="10.81640625" style="1"/>
    <col min="3" max="3" width="25.453125" style="1" bestFit="1" customWidth="1"/>
    <col min="4" max="4" width="20.1796875" style="1" bestFit="1" customWidth="1"/>
    <col min="5" max="5" width="10.81640625" style="1"/>
    <col min="6" max="6" width="4" style="1" customWidth="1"/>
    <col min="7" max="8" width="4.81640625" style="1" customWidth="1"/>
    <col min="9" max="9" width="1.81640625" style="1" customWidth="1"/>
    <col min="10" max="15" width="3.81640625" style="1" customWidth="1"/>
    <col min="16" max="25" width="6.81640625" style="1" customWidth="1"/>
    <col min="26" max="28" width="3.1796875" style="1" customWidth="1"/>
    <col min="29" max="31" width="4" style="1" customWidth="1"/>
    <col min="32" max="41" width="6.81640625" style="1" customWidth="1"/>
    <col min="42" max="16384" width="10.81640625" style="1"/>
  </cols>
  <sheetData>
    <row r="1" spans="1:41" ht="13.5" customHeight="1"/>
    <row r="2" spans="1:41" ht="13.5" customHeight="1"/>
    <row r="3" spans="1:41" ht="13.5" customHeight="1">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row>
    <row r="4" spans="1:41" ht="13.5" customHeight="1">
      <c r="A4" s="3" t="s">
        <v>34</v>
      </c>
      <c r="B4" s="3"/>
      <c r="C4" s="3">
        <f>nm</f>
        <v>0</v>
      </c>
      <c r="D4" s="10"/>
      <c r="J4" s="533" t="s">
        <v>143</v>
      </c>
      <c r="K4" s="533"/>
      <c r="L4" s="533"/>
      <c r="M4" s="533"/>
      <c r="N4" s="533"/>
      <c r="O4" s="533"/>
      <c r="P4" s="533"/>
      <c r="Q4" s="533"/>
      <c r="R4" s="533"/>
      <c r="S4" s="533"/>
      <c r="T4" s="533"/>
      <c r="U4" s="533"/>
      <c r="V4" s="533"/>
      <c r="W4" s="533"/>
      <c r="X4" s="533"/>
      <c r="Y4" s="533"/>
      <c r="Z4" s="7"/>
      <c r="AA4" s="7"/>
      <c r="AB4" s="7"/>
      <c r="AC4" s="7"/>
      <c r="AD4" s="7"/>
      <c r="AE4" s="7"/>
      <c r="AF4" s="7"/>
      <c r="AG4" s="7"/>
      <c r="AH4" s="7"/>
      <c r="AI4" s="7"/>
      <c r="AJ4" s="7"/>
      <c r="AK4" s="7"/>
      <c r="AL4" s="7"/>
      <c r="AM4" s="7"/>
      <c r="AN4" s="7"/>
      <c r="AO4" s="7"/>
    </row>
    <row r="5" spans="1:41" ht="13.5" customHeight="1">
      <c r="A5" s="3" t="s">
        <v>35</v>
      </c>
      <c r="B5" s="3"/>
      <c r="C5" s="3">
        <f>cnt</f>
        <v>0</v>
      </c>
      <c r="J5" s="537" t="s">
        <v>73</v>
      </c>
      <c r="K5" s="538"/>
      <c r="L5" s="538"/>
      <c r="M5" s="538"/>
      <c r="N5" s="538"/>
      <c r="O5" s="539"/>
      <c r="P5" s="256">
        <v>1</v>
      </c>
      <c r="Q5" s="256">
        <v>2</v>
      </c>
      <c r="R5" s="256">
        <v>3</v>
      </c>
      <c r="S5" s="256">
        <v>4</v>
      </c>
      <c r="T5" s="256">
        <v>5</v>
      </c>
      <c r="U5" s="256">
        <v>6</v>
      </c>
      <c r="V5" s="256">
        <v>7</v>
      </c>
      <c r="W5" s="256">
        <v>8</v>
      </c>
      <c r="X5" s="256">
        <v>9</v>
      </c>
      <c r="Y5" s="256">
        <v>10</v>
      </c>
      <c r="Z5" s="7"/>
      <c r="AA5" s="7"/>
      <c r="AB5" s="7"/>
      <c r="AC5" s="7"/>
      <c r="AD5" s="7"/>
      <c r="AE5" s="7"/>
      <c r="AF5" s="7"/>
      <c r="AG5" s="7"/>
      <c r="AH5" s="7"/>
      <c r="AI5" s="7"/>
      <c r="AJ5" s="7"/>
      <c r="AK5" s="7"/>
      <c r="AL5" s="7"/>
      <c r="AM5" s="7"/>
      <c r="AN5" s="7"/>
      <c r="AO5" s="7"/>
    </row>
    <row r="6" spans="1:41" ht="13.5" customHeight="1">
      <c r="A6" s="3" t="s">
        <v>67</v>
      </c>
      <c r="B6" s="3"/>
      <c r="C6" s="3">
        <f>mail</f>
        <v>0</v>
      </c>
      <c r="J6" s="546" t="s">
        <v>53</v>
      </c>
      <c r="K6" s="547"/>
      <c r="L6" s="547"/>
      <c r="M6" s="547"/>
      <c r="N6" s="547"/>
      <c r="O6" s="548"/>
      <c r="P6" s="260">
        <f>'Datos de Proyecto'!$Q21</f>
        <v>10</v>
      </c>
      <c r="Q6" s="260">
        <f>'Datos de Proyecto'!$Q22</f>
        <v>0</v>
      </c>
      <c r="R6" s="260">
        <f>'Datos de Proyecto'!$Q23</f>
        <v>0</v>
      </c>
      <c r="S6" s="260">
        <f>'Datos de Proyecto'!$Q24</f>
        <v>0</v>
      </c>
      <c r="T6" s="260">
        <f>'Datos de Proyecto'!$Q25</f>
        <v>0</v>
      </c>
      <c r="U6" s="260">
        <f>'Datos de Proyecto'!$Q26</f>
        <v>0</v>
      </c>
      <c r="V6" s="260">
        <f>'Datos de Proyecto'!$Q27</f>
        <v>0</v>
      </c>
      <c r="W6" s="260">
        <f>'Datos de Proyecto'!$Q28</f>
        <v>0</v>
      </c>
      <c r="X6" s="260">
        <f>'Datos de Proyecto'!$Q29</f>
        <v>0</v>
      </c>
      <c r="Y6" s="260">
        <f>'Datos de Proyecto'!$Q30</f>
        <v>0</v>
      </c>
      <c r="Z6" s="7"/>
      <c r="AA6" s="7"/>
      <c r="AB6" s="7"/>
      <c r="AC6" s="7"/>
      <c r="AD6" s="7"/>
      <c r="AE6" s="7"/>
      <c r="AF6" s="7"/>
      <c r="AG6" s="7"/>
      <c r="AH6" s="7"/>
      <c r="AI6" s="7"/>
      <c r="AJ6" s="7"/>
      <c r="AK6" s="7"/>
      <c r="AL6" s="7"/>
      <c r="AM6" s="7"/>
      <c r="AN6" s="7"/>
      <c r="AO6" s="7"/>
    </row>
    <row r="7" spans="1:41" ht="13.5" customHeight="1" thickBot="1">
      <c r="A7" s="2" t="s">
        <v>69</v>
      </c>
      <c r="C7" s="3" t="str">
        <f>'Datos de Proyecto'!C15</f>
        <v xml:space="preserve">Colima / Colima </v>
      </c>
      <c r="J7" s="540" t="s">
        <v>76</v>
      </c>
      <c r="K7" s="541"/>
      <c r="L7" s="541"/>
      <c r="M7" s="541"/>
      <c r="N7" s="541"/>
      <c r="O7" s="542"/>
      <c r="P7" s="259">
        <f>'Datos de Proyecto'!$P21</f>
        <v>1</v>
      </c>
      <c r="Q7" s="262">
        <f>'Datos de Proyecto'!$P22</f>
        <v>0</v>
      </c>
      <c r="R7" s="262">
        <f>'Datos de Proyecto'!$P23</f>
        <v>0</v>
      </c>
      <c r="S7" s="262">
        <f>'Datos de Proyecto'!$P24</f>
        <v>0</v>
      </c>
      <c r="T7" s="262">
        <f>'Datos de Proyecto'!$P25</f>
        <v>0</v>
      </c>
      <c r="U7" s="262">
        <f>'Datos de Proyecto'!$P26</f>
        <v>0</v>
      </c>
      <c r="V7" s="262">
        <f>'Datos de Proyecto'!$P27</f>
        <v>0</v>
      </c>
      <c r="W7" s="262">
        <f>'Datos de Proyecto'!$P28</f>
        <v>0</v>
      </c>
      <c r="X7" s="262">
        <f>'Datos de Proyecto'!$P29</f>
        <v>0</v>
      </c>
      <c r="Y7" s="262">
        <f>'Datos de Proyecto'!$P30</f>
        <v>0</v>
      </c>
      <c r="Z7" s="7"/>
      <c r="AA7" s="7"/>
      <c r="AB7" s="7"/>
      <c r="AC7" s="7"/>
      <c r="AD7" s="7"/>
      <c r="AE7" s="7"/>
      <c r="AF7" s="7"/>
      <c r="AG7" s="7"/>
      <c r="AH7" s="7"/>
      <c r="AI7" s="7"/>
      <c r="AJ7" s="7"/>
      <c r="AK7" s="7"/>
      <c r="AL7" s="7"/>
      <c r="AM7" s="7"/>
      <c r="AN7" s="7"/>
      <c r="AO7" s="7"/>
    </row>
    <row r="8" spans="1:41" ht="13.5" customHeight="1" thickTop="1">
      <c r="A8" s="3" t="s">
        <v>101</v>
      </c>
      <c r="B8" s="3"/>
      <c r="C8" s="104">
        <f>'Datos de Proyecto'!C16</f>
        <v>120</v>
      </c>
      <c r="D8" s="530">
        <f>IF(MAX('Calculo de Span'!O36:O55)&gt;14,"ERROR:La longitud EO no puede ser mayor a 14m",0)</f>
        <v>0</v>
      </c>
      <c r="E8" s="530"/>
      <c r="F8" s="530"/>
      <c r="J8" s="543" t="str">
        <f>+'Datos de Proyecto'!D31</f>
        <v>S RAIL 40</v>
      </c>
      <c r="K8" s="544"/>
      <c r="L8" s="544"/>
      <c r="M8" s="544"/>
      <c r="N8" s="544"/>
      <c r="O8" s="545"/>
      <c r="P8" s="98">
        <f>IFERROR('Cuenta total'!AL4,0)</f>
        <v>22</v>
      </c>
      <c r="Q8" s="98">
        <f>IFERROR('Cuenta total'!AL5,0)</f>
        <v>0</v>
      </c>
      <c r="R8" s="98">
        <f>IFERROR('Cuenta total'!AL6,0)</f>
        <v>0</v>
      </c>
      <c r="S8" s="98">
        <f>IFERROR('Cuenta total'!AL7,0)</f>
        <v>0</v>
      </c>
      <c r="T8" s="98">
        <f>IFERROR('Cuenta total'!AL8,0)</f>
        <v>0</v>
      </c>
      <c r="U8" s="98">
        <f>IFERROR('Cuenta total'!AL9,0)</f>
        <v>0</v>
      </c>
      <c r="V8" s="98">
        <f>IFERROR('Cuenta total'!AL10,0)</f>
        <v>0</v>
      </c>
      <c r="W8" s="98">
        <f>IFERROR('Cuenta total'!AL11,0)</f>
        <v>0</v>
      </c>
      <c r="X8" s="98">
        <f>IFERROR('Cuenta total'!AL12,0)</f>
        <v>0</v>
      </c>
      <c r="Y8" s="98">
        <f>IFERROR('Cuenta total'!AL13,0)</f>
        <v>0</v>
      </c>
      <c r="Z8" s="7"/>
      <c r="AA8" s="7"/>
      <c r="AB8" s="7"/>
      <c r="AC8" s="7"/>
      <c r="AD8" s="7"/>
      <c r="AE8" s="7"/>
      <c r="AF8" s="7"/>
      <c r="AG8" s="7"/>
      <c r="AH8" s="7"/>
      <c r="AI8" s="7"/>
      <c r="AJ8" s="7"/>
      <c r="AK8" s="7"/>
      <c r="AL8" s="7"/>
      <c r="AM8" s="7"/>
      <c r="AN8" s="7"/>
      <c r="AO8" s="7"/>
    </row>
    <row r="9" spans="1:41" ht="13.5" customHeight="1">
      <c r="A9" s="2" t="s">
        <v>72</v>
      </c>
      <c r="B9" s="2"/>
      <c r="C9" s="105">
        <f>'Datos de Proyecto'!D24</f>
        <v>615</v>
      </c>
      <c r="D9" s="530"/>
      <c r="E9" s="530"/>
      <c r="F9" s="530"/>
      <c r="J9" s="543" t="s">
        <v>86</v>
      </c>
      <c r="K9" s="544"/>
      <c r="L9" s="544"/>
      <c r="M9" s="544"/>
      <c r="N9" s="544"/>
      <c r="O9" s="545"/>
      <c r="P9" s="81">
        <f>IFERROR('Cuenta total'!$AM$4,0)</f>
        <v>4</v>
      </c>
      <c r="Q9" s="81">
        <f>IFERROR('Cuenta total'!$AM$5,0)</f>
        <v>0</v>
      </c>
      <c r="R9" s="81">
        <f>IFERROR('Cuenta total'!$AM$6,0)</f>
        <v>0</v>
      </c>
      <c r="S9" s="81">
        <f>IFERROR('Cuenta total'!$AM$7,0)</f>
        <v>0</v>
      </c>
      <c r="T9" s="81">
        <f>IFERROR('Cuenta total'!$AM$8,0)</f>
        <v>0</v>
      </c>
      <c r="U9" s="81">
        <f>IFERROR('Cuenta total'!$AM$9,0)</f>
        <v>0</v>
      </c>
      <c r="V9" s="81">
        <f>IFERROR('Cuenta total'!$AM$10,0)</f>
        <v>0</v>
      </c>
      <c r="W9" s="81">
        <f>IFERROR('Cuenta total'!$AM$11,0)</f>
        <v>0</v>
      </c>
      <c r="X9" s="81">
        <f>IFERROR('Cuenta total'!$AM$12,0)</f>
        <v>0</v>
      </c>
      <c r="Y9" s="81">
        <f>IFERROR('Cuenta total'!$AM$13,0)</f>
        <v>0</v>
      </c>
      <c r="Z9" s="7"/>
      <c r="AA9" s="7"/>
      <c r="AB9" s="7"/>
      <c r="AC9" s="7"/>
      <c r="AD9" s="7"/>
      <c r="AE9" s="7"/>
      <c r="AF9" s="7"/>
      <c r="AG9" s="7"/>
      <c r="AH9" s="7"/>
      <c r="AI9" s="7"/>
      <c r="AJ9" s="7"/>
      <c r="AK9" s="7"/>
      <c r="AL9" s="7"/>
      <c r="AM9" s="7"/>
      <c r="AN9" s="7"/>
      <c r="AO9" s="7"/>
    </row>
    <row r="10" spans="1:41" ht="13.5" customHeight="1">
      <c r="A10" s="2" t="s">
        <v>74</v>
      </c>
      <c r="B10" s="2"/>
      <c r="C10" s="3">
        <f>SUM('Datos de Proyecto'!P21:P40)</f>
        <v>1</v>
      </c>
      <c r="D10" s="530"/>
      <c r="E10" s="530"/>
      <c r="F10" s="530"/>
      <c r="J10" s="543" t="s">
        <v>88</v>
      </c>
      <c r="K10" s="544"/>
      <c r="L10" s="544"/>
      <c r="M10" s="544"/>
      <c r="N10" s="544"/>
      <c r="O10" s="545"/>
      <c r="P10" s="81">
        <f>IFERROR('Cuenta total'!$AN$4,0)</f>
        <v>18</v>
      </c>
      <c r="Q10" s="81">
        <f>IFERROR('Cuenta total'!$AN$5,0)</f>
        <v>0</v>
      </c>
      <c r="R10" s="81">
        <f>IFERROR('Cuenta total'!$AN$6,0)</f>
        <v>0</v>
      </c>
      <c r="S10" s="81">
        <f>IFERROR('Cuenta total'!$AN$7,0)</f>
        <v>0</v>
      </c>
      <c r="T10" s="81">
        <f>IFERROR('Cuenta total'!$AN$8,0)</f>
        <v>0</v>
      </c>
      <c r="U10" s="81">
        <f>IFERROR('Cuenta total'!$AN$9,0)</f>
        <v>0</v>
      </c>
      <c r="V10" s="81">
        <f>IFERROR('Cuenta total'!$AN$10,0)</f>
        <v>0</v>
      </c>
      <c r="W10" s="81">
        <f>IFERROR('Cuenta total'!$AN$11,0)</f>
        <v>0</v>
      </c>
      <c r="X10" s="81">
        <f>IFERROR('Cuenta total'!$AN$12,0)</f>
        <v>0</v>
      </c>
      <c r="Y10" s="81">
        <f>IFERROR('Cuenta total'!$AN$13,0)</f>
        <v>0</v>
      </c>
      <c r="Z10" s="7"/>
      <c r="AA10" s="7"/>
      <c r="AB10" s="7"/>
      <c r="AC10" s="7"/>
      <c r="AD10" s="7"/>
      <c r="AE10" s="7"/>
      <c r="AF10" s="7"/>
      <c r="AG10" s="7"/>
      <c r="AH10" s="7"/>
      <c r="AI10" s="7"/>
      <c r="AJ10" s="7"/>
      <c r="AK10" s="7"/>
      <c r="AL10" s="7"/>
      <c r="AM10" s="7"/>
      <c r="AN10" s="7"/>
      <c r="AO10" s="7"/>
    </row>
    <row r="11" spans="1:41" ht="13.5" customHeight="1">
      <c r="A11" s="2" t="s">
        <v>75</v>
      </c>
      <c r="C11" s="3" cm="1">
        <f t="array" ref="C11:D11">'Datos de Proyecto'!P42:Q42</f>
        <v>10</v>
      </c>
      <c r="D11" s="1">
        <v>0</v>
      </c>
      <c r="J11" s="543" t="s">
        <v>573</v>
      </c>
      <c r="K11" s="544"/>
      <c r="L11" s="544"/>
      <c r="M11" s="544"/>
      <c r="N11" s="544"/>
      <c r="O11" s="545"/>
      <c r="P11" s="81">
        <f>IFERROR('Cuenta total'!$AP$4,0)</f>
        <v>88</v>
      </c>
      <c r="Q11" s="81">
        <f>IFERROR('Cuenta total'!$AP$5,0)</f>
        <v>0</v>
      </c>
      <c r="R11" s="81">
        <f>IFERROR('Cuenta total'!$AP$6,0)</f>
        <v>0</v>
      </c>
      <c r="S11" s="81">
        <f>IFERROR('Cuenta total'!$AP$7,0)</f>
        <v>0</v>
      </c>
      <c r="T11" s="81">
        <f>IFERROR('Cuenta total'!$AP$8,0)</f>
        <v>0</v>
      </c>
      <c r="U11" s="81">
        <f>IFERROR('Cuenta total'!$AP$9,0)</f>
        <v>0</v>
      </c>
      <c r="V11" s="81">
        <f>IFERROR('Cuenta total'!$AP$10,0)</f>
        <v>0</v>
      </c>
      <c r="W11" s="81">
        <f>IFERROR('Cuenta total'!$AP$11,0)</f>
        <v>0</v>
      </c>
      <c r="X11" s="81">
        <f>IFERROR('Cuenta total'!$AP$12,0)</f>
        <v>0</v>
      </c>
      <c r="Y11" s="81">
        <f>IFERROR('Cuenta total'!$AP$13,0)</f>
        <v>0</v>
      </c>
      <c r="Z11" s="7"/>
      <c r="AA11" s="7"/>
      <c r="AB11" s="7"/>
      <c r="AC11" s="7"/>
      <c r="AD11" s="7"/>
      <c r="AE11" s="7"/>
      <c r="AF11" s="7"/>
      <c r="AG11" s="7"/>
      <c r="AH11" s="7"/>
      <c r="AI11" s="7"/>
      <c r="AJ11" s="7"/>
      <c r="AK11" s="7"/>
      <c r="AL11" s="7"/>
      <c r="AM11" s="7"/>
      <c r="AN11" s="7"/>
      <c r="AO11" s="7"/>
    </row>
    <row r="12" spans="1:41" ht="13.5" customHeight="1">
      <c r="A12" s="2" t="s">
        <v>77</v>
      </c>
      <c r="C12" s="106">
        <f>ROUNDUP(C11*'Datos de Proyecto'!D25*'Datos de Proyecto'!D26*1.2,0)</f>
        <v>33</v>
      </c>
      <c r="J12" s="543" t="s">
        <v>92</v>
      </c>
      <c r="K12" s="544"/>
      <c r="L12" s="544"/>
      <c r="M12" s="544"/>
      <c r="N12" s="544"/>
      <c r="O12" s="545"/>
      <c r="P12" s="81">
        <f>IFERROR('Cuenta total'!$AO$4,0)</f>
        <v>1</v>
      </c>
      <c r="Q12" s="81">
        <f>IFERROR('Cuenta total'!$AO$5,0)</f>
        <v>0</v>
      </c>
      <c r="R12" s="81">
        <f>IFERROR('Cuenta total'!$AO$6,0)</f>
        <v>0</v>
      </c>
      <c r="S12" s="81">
        <f>IFERROR('Cuenta total'!$AO$7,0)</f>
        <v>0</v>
      </c>
      <c r="T12" s="81">
        <f>IFERROR('Cuenta total'!$AO$8,0)</f>
        <v>0</v>
      </c>
      <c r="U12" s="81">
        <f>IFERROR('Cuenta total'!$AO$9,0)</f>
        <v>0</v>
      </c>
      <c r="V12" s="81">
        <f>IFERROR('Cuenta total'!$AO$10,0)</f>
        <v>0</v>
      </c>
      <c r="W12" s="81">
        <f>IFERROR('Cuenta total'!$AO$11,0)</f>
        <v>0</v>
      </c>
      <c r="X12" s="81">
        <f>IFERROR('Cuenta total'!$AO$12,0)</f>
        <v>0</v>
      </c>
      <c r="Y12" s="81">
        <f>IFERROR('Cuenta total'!$AO$13,0)</f>
        <v>0</v>
      </c>
      <c r="Z12" s="7"/>
      <c r="AA12" s="7"/>
      <c r="AB12" s="7"/>
      <c r="AC12" s="7"/>
      <c r="AD12" s="7"/>
      <c r="AE12" s="7"/>
      <c r="AF12" s="7"/>
      <c r="AK12" s="7"/>
      <c r="AL12" s="7"/>
      <c r="AM12" s="7"/>
      <c r="AN12" s="7"/>
      <c r="AO12" s="7"/>
    </row>
    <row r="13" spans="1:41" ht="13.5" customHeight="1">
      <c r="Z13" s="7"/>
      <c r="AA13" s="7"/>
      <c r="AB13" s="7"/>
      <c r="AC13" s="7"/>
      <c r="AD13" s="7"/>
      <c r="AE13" s="7"/>
      <c r="AF13" s="7"/>
      <c r="AG13" s="7"/>
      <c r="AH13" s="7"/>
      <c r="AI13" s="7"/>
      <c r="AJ13" s="7"/>
      <c r="AK13" s="7"/>
      <c r="AL13" s="7"/>
      <c r="AM13" s="7"/>
      <c r="AN13" s="7"/>
      <c r="AO13" s="7"/>
    </row>
    <row r="14" spans="1:41" ht="13.5" customHeight="1">
      <c r="Z14" s="7"/>
      <c r="AA14" s="7"/>
      <c r="AB14" s="7"/>
      <c r="AC14" s="7"/>
      <c r="AD14" s="7"/>
      <c r="AE14" s="7"/>
      <c r="AF14" s="7"/>
      <c r="AG14" s="7"/>
      <c r="AH14" s="7"/>
      <c r="AI14" s="7"/>
      <c r="AJ14" s="7"/>
      <c r="AK14" s="7"/>
      <c r="AL14" s="7"/>
      <c r="AM14" s="7"/>
      <c r="AN14" s="7"/>
      <c r="AO14" s="7"/>
    </row>
    <row r="15" spans="1:41" ht="13.5" customHeight="1">
      <c r="B15" s="549" t="str">
        <f>IF($B$20="S RAIL 28", "Recuerda que la separación máxima entre crestas para esta pieza es de 25 cm","")</f>
        <v/>
      </c>
      <c r="C15" s="549"/>
      <c r="D15" s="549"/>
      <c r="E15" s="549"/>
      <c r="Z15" s="7"/>
      <c r="AA15" s="7"/>
      <c r="AB15" s="7"/>
      <c r="AC15" s="7"/>
      <c r="AD15" s="7"/>
      <c r="AE15" s="7"/>
      <c r="AF15" s="7"/>
      <c r="AG15" s="7"/>
      <c r="AH15" s="7"/>
      <c r="AI15" s="7"/>
      <c r="AJ15" s="7"/>
      <c r="AK15" s="7"/>
      <c r="AL15" s="7"/>
      <c r="AM15" s="7"/>
      <c r="AN15" s="7"/>
      <c r="AO15" s="7"/>
    </row>
    <row r="16" spans="1:41" ht="13.5" customHeight="1">
      <c r="B16" s="549"/>
      <c r="C16" s="549"/>
      <c r="D16" s="549"/>
      <c r="E16" s="549"/>
      <c r="Z16" s="7"/>
      <c r="AA16" s="7"/>
    </row>
    <row r="17" spans="1:41" ht="13.5" customHeight="1">
      <c r="A17" s="469" t="s">
        <v>78</v>
      </c>
      <c r="B17" s="469"/>
      <c r="C17" s="469"/>
      <c r="D17" s="469"/>
      <c r="E17" s="469"/>
      <c r="F17" s="469"/>
      <c r="G17" s="469"/>
      <c r="H17" s="469"/>
      <c r="I17" s="469"/>
      <c r="J17" s="533" t="s">
        <v>143</v>
      </c>
      <c r="K17" s="533"/>
      <c r="L17" s="533"/>
      <c r="M17" s="533"/>
      <c r="N17" s="533"/>
      <c r="O17" s="533"/>
      <c r="P17" s="533"/>
      <c r="Q17" s="533"/>
      <c r="R17" s="533"/>
      <c r="S17" s="533"/>
      <c r="T17" s="533"/>
      <c r="U17" s="533"/>
      <c r="V17" s="533"/>
      <c r="W17" s="533"/>
      <c r="X17" s="533"/>
      <c r="Y17" s="533"/>
      <c r="Z17" s="7"/>
      <c r="AA17" s="7"/>
    </row>
    <row r="18" spans="1:41" ht="13.5" customHeight="1">
      <c r="A18" s="469"/>
      <c r="B18" s="469"/>
      <c r="C18" s="469"/>
      <c r="D18" s="469"/>
      <c r="E18" s="469"/>
      <c r="F18" s="469"/>
      <c r="G18" s="469"/>
      <c r="H18" s="469"/>
      <c r="I18" s="469"/>
      <c r="J18" s="537" t="s">
        <v>73</v>
      </c>
      <c r="K18" s="538"/>
      <c r="L18" s="538"/>
      <c r="M18" s="538"/>
      <c r="N18" s="538"/>
      <c r="O18" s="539"/>
      <c r="P18" s="257">
        <v>11</v>
      </c>
      <c r="Q18" s="257">
        <v>12</v>
      </c>
      <c r="R18" s="257">
        <v>13</v>
      </c>
      <c r="S18" s="257">
        <v>14</v>
      </c>
      <c r="T18" s="257">
        <v>15</v>
      </c>
      <c r="U18" s="257">
        <v>16</v>
      </c>
      <c r="V18" s="257">
        <v>17</v>
      </c>
      <c r="W18" s="257">
        <v>18</v>
      </c>
      <c r="X18" s="257">
        <v>19</v>
      </c>
      <c r="Y18" s="257">
        <v>20</v>
      </c>
      <c r="Z18" s="7"/>
      <c r="AA18" s="7"/>
    </row>
    <row r="19" spans="1:41" ht="13.5" customHeight="1">
      <c r="A19" s="11" t="s">
        <v>81</v>
      </c>
      <c r="B19" s="489" t="s">
        <v>82</v>
      </c>
      <c r="C19" s="489"/>
      <c r="D19" s="489"/>
      <c r="E19" s="489"/>
      <c r="F19" s="489" t="s">
        <v>83</v>
      </c>
      <c r="G19" s="489"/>
      <c r="H19" s="489"/>
      <c r="I19" s="114"/>
      <c r="J19" s="546" t="s">
        <v>53</v>
      </c>
      <c r="K19" s="547"/>
      <c r="L19" s="547"/>
      <c r="M19" s="547"/>
      <c r="N19" s="547"/>
      <c r="O19" s="548"/>
      <c r="P19" s="261">
        <f>'Datos de Proyecto'!$Q31</f>
        <v>0</v>
      </c>
      <c r="Q19" s="261">
        <f>'Datos de Proyecto'!$Q32</f>
        <v>0</v>
      </c>
      <c r="R19" s="261">
        <f>'Datos de Proyecto'!$Q33</f>
        <v>0</v>
      </c>
      <c r="S19" s="261">
        <f>'Datos de Proyecto'!$Q34</f>
        <v>0</v>
      </c>
      <c r="T19" s="261">
        <f>'Datos de Proyecto'!$Q35</f>
        <v>0</v>
      </c>
      <c r="U19" s="261">
        <f>'Datos de Proyecto'!$Q36</f>
        <v>0</v>
      </c>
      <c r="V19" s="261">
        <f>'Datos de Proyecto'!$Q37</f>
        <v>0</v>
      </c>
      <c r="W19" s="261">
        <f>'Datos de Proyecto'!$Q38</f>
        <v>0</v>
      </c>
      <c r="X19" s="261">
        <f>'Datos de Proyecto'!$Q39</f>
        <v>0</v>
      </c>
      <c r="Y19" s="261">
        <f>'Datos de Proyecto'!$Q40</f>
        <v>0</v>
      </c>
      <c r="Z19" s="7"/>
      <c r="AA19" s="7"/>
    </row>
    <row r="20" spans="1:41" ht="13.5" customHeight="1" thickBot="1">
      <c r="A20" s="12" t="str">
        <f>IF('Datos de Proyecto'!$D$31="S RAIL 40","N00018",IF('Datos de Proyecto'!$D$31="S RAIL 28","N00016",""))</f>
        <v>N00018</v>
      </c>
      <c r="B20" s="513" t="str">
        <f>+'Datos de Proyecto'!D31</f>
        <v>S RAIL 40</v>
      </c>
      <c r="C20" s="513"/>
      <c r="D20" s="513"/>
      <c r="E20" s="513"/>
      <c r="F20" s="513">
        <f>IF(MAX('Calculo de Span'!O36:O55)&gt;14,"ERROR",SUM('Cuenta total'!AL4:AL23))</f>
        <v>22</v>
      </c>
      <c r="G20" s="513"/>
      <c r="H20" s="513"/>
      <c r="J20" s="540" t="s">
        <v>76</v>
      </c>
      <c r="K20" s="541"/>
      <c r="L20" s="541"/>
      <c r="M20" s="541"/>
      <c r="N20" s="541"/>
      <c r="O20" s="542"/>
      <c r="P20" s="262">
        <f>'Datos de Proyecto'!$P31</f>
        <v>0</v>
      </c>
      <c r="Q20" s="262">
        <f>'Datos de Proyecto'!$P32</f>
        <v>0</v>
      </c>
      <c r="R20" s="262">
        <f>'Datos de Proyecto'!$P33</f>
        <v>0</v>
      </c>
      <c r="S20" s="262">
        <f>'Datos de Proyecto'!$P34</f>
        <v>0</v>
      </c>
      <c r="T20" s="262">
        <f>'Datos de Proyecto'!$P35</f>
        <v>0</v>
      </c>
      <c r="U20" s="262">
        <f>'Datos de Proyecto'!$P36</f>
        <v>0</v>
      </c>
      <c r="V20" s="262">
        <f>'Datos de Proyecto'!$P37</f>
        <v>0</v>
      </c>
      <c r="W20" s="262">
        <f>'Datos de Proyecto'!$P38</f>
        <v>0</v>
      </c>
      <c r="X20" s="262">
        <f>'Datos de Proyecto'!$P39</f>
        <v>0</v>
      </c>
      <c r="Y20" s="262">
        <f>'Datos de Proyecto'!$P40</f>
        <v>0</v>
      </c>
      <c r="Z20" s="7"/>
      <c r="AA20" s="7"/>
    </row>
    <row r="21" spans="1:41" ht="13.5" customHeight="1" thickTop="1">
      <c r="A21" s="12" t="s">
        <v>89</v>
      </c>
      <c r="B21" s="467" t="s">
        <v>86</v>
      </c>
      <c r="C21" s="467"/>
      <c r="D21" s="467"/>
      <c r="E21" s="467"/>
      <c r="F21" s="467">
        <f>SUM('Cuenta total'!AM4:AM23)</f>
        <v>4</v>
      </c>
      <c r="G21" s="467"/>
      <c r="H21" s="467"/>
      <c r="I21" s="113"/>
      <c r="J21" s="534" t="str">
        <f>+'Datos de Proyecto'!D31</f>
        <v>S RAIL 40</v>
      </c>
      <c r="K21" s="535"/>
      <c r="L21" s="535"/>
      <c r="M21" s="535"/>
      <c r="N21" s="535"/>
      <c r="O21" s="536"/>
      <c r="P21" s="98">
        <f>IFERROR('Cuenta total'!AL14,0)</f>
        <v>0</v>
      </c>
      <c r="Q21" s="98">
        <f>IFERROR('Cuenta total'!AL15,0)</f>
        <v>0</v>
      </c>
      <c r="R21" s="98">
        <f>IFERROR('Cuenta total'!AL16,0)</f>
        <v>0</v>
      </c>
      <c r="S21" s="98">
        <f>IFERROR('Cuenta total'!AL17,0)</f>
        <v>0</v>
      </c>
      <c r="T21" s="98">
        <f>IFERROR('Cuenta total'!AL18,0)</f>
        <v>0</v>
      </c>
      <c r="U21" s="98">
        <f>IFERROR('Cuenta total'!AL19,0)</f>
        <v>0</v>
      </c>
      <c r="V21" s="98">
        <f>IFERROR('Cuenta total'!AL20,0)</f>
        <v>0</v>
      </c>
      <c r="W21" s="98">
        <f>IFERROR('Cuenta total'!AL21,0)</f>
        <v>0</v>
      </c>
      <c r="X21" s="98">
        <f>IFERROR('Cuenta total'!AL22,0)</f>
        <v>0</v>
      </c>
      <c r="Y21" s="98">
        <f>IFERROR('Cuenta total'!AL23,0)</f>
        <v>0</v>
      </c>
      <c r="Z21" s="7"/>
      <c r="AA21" s="7"/>
    </row>
    <row r="22" spans="1:41" ht="13.5" customHeight="1">
      <c r="A22" s="12" t="s">
        <v>580</v>
      </c>
      <c r="B22" s="467" t="s">
        <v>579</v>
      </c>
      <c r="C22" s="467"/>
      <c r="D22" s="467"/>
      <c r="E22" s="467"/>
      <c r="F22" s="467">
        <f>SUM('Cuenta total'!$AN$4:$AN$23)</f>
        <v>18</v>
      </c>
      <c r="G22" s="467"/>
      <c r="H22" s="467"/>
      <c r="I22" s="113"/>
      <c r="J22" s="543" t="s">
        <v>86</v>
      </c>
      <c r="K22" s="544"/>
      <c r="L22" s="544"/>
      <c r="M22" s="544"/>
      <c r="N22" s="544"/>
      <c r="O22" s="545"/>
      <c r="P22" s="81">
        <f>IFERROR('Cuenta total'!$AM$14,0)</f>
        <v>0</v>
      </c>
      <c r="Q22" s="81">
        <f>IFERROR('Cuenta total'!$AM$15,0)</f>
        <v>0</v>
      </c>
      <c r="R22" s="81">
        <f>IFERROR('Cuenta total'!$AM$16,0)</f>
        <v>0</v>
      </c>
      <c r="S22" s="81">
        <f>IFERROR('Cuenta total'!$AM$17,0)</f>
        <v>0</v>
      </c>
      <c r="T22" s="81">
        <f>IFERROR('Cuenta total'!$AM$18,0)</f>
        <v>0</v>
      </c>
      <c r="U22" s="81">
        <f>IFERROR('Cuenta total'!$AM$19,0)</f>
        <v>0</v>
      </c>
      <c r="V22" s="81">
        <f>IFERROR('Cuenta total'!$AM$20,0)</f>
        <v>0</v>
      </c>
      <c r="W22" s="81">
        <f>IFERROR('Cuenta total'!$AM$21,0)</f>
        <v>0</v>
      </c>
      <c r="X22" s="81">
        <f>IFERROR('Cuenta total'!$AM$22,0)</f>
        <v>0</v>
      </c>
      <c r="Y22" s="81">
        <f>IFERROR('Cuenta total'!$AM$23,0)</f>
        <v>0</v>
      </c>
      <c r="Z22" s="7"/>
      <c r="AA22" s="7"/>
    </row>
    <row r="23" spans="1:41" ht="13.5" customHeight="1">
      <c r="A23" s="12" t="s">
        <v>144</v>
      </c>
      <c r="B23" s="467" t="s">
        <v>573</v>
      </c>
      <c r="C23" s="467"/>
      <c r="D23" s="467"/>
      <c r="E23" s="467"/>
      <c r="F23" s="467">
        <f>SUM('Cuenta total'!AP4:AP23)</f>
        <v>88</v>
      </c>
      <c r="G23" s="467"/>
      <c r="H23" s="467"/>
      <c r="I23" s="113"/>
      <c r="J23" s="543" t="s">
        <v>88</v>
      </c>
      <c r="K23" s="544"/>
      <c r="L23" s="544"/>
      <c r="M23" s="544"/>
      <c r="N23" s="544"/>
      <c r="O23" s="545"/>
      <c r="P23" s="81">
        <f>IFERROR('Cuenta total'!$AN$14,0)</f>
        <v>0</v>
      </c>
      <c r="Q23" s="81">
        <f>IFERROR('Cuenta total'!$AN$15,0)</f>
        <v>0</v>
      </c>
      <c r="R23" s="81">
        <f>IFERROR('Cuenta total'!$AN$16,0)</f>
        <v>0</v>
      </c>
      <c r="S23" s="81">
        <f>IFERROR('Cuenta total'!$AN$17,0)</f>
        <v>0</v>
      </c>
      <c r="T23" s="81">
        <f>IFERROR('Cuenta total'!$AN$18,0)</f>
        <v>0</v>
      </c>
      <c r="U23" s="81">
        <f>IFERROR('Cuenta total'!$AN$19,0)</f>
        <v>0</v>
      </c>
      <c r="V23" s="81">
        <f>IFERROR('Cuenta total'!$AN$20,0)</f>
        <v>0</v>
      </c>
      <c r="W23" s="81">
        <f>IFERROR('Cuenta total'!$AN$21,0)</f>
        <v>0</v>
      </c>
      <c r="X23" s="81">
        <f>IFERROR('Cuenta total'!$AN$22,0)</f>
        <v>0</v>
      </c>
      <c r="Y23" s="81">
        <f>IFERROR('Cuenta total'!$AN$23,0)</f>
        <v>0</v>
      </c>
      <c r="Z23" s="7"/>
      <c r="AA23" s="7"/>
    </row>
    <row r="24" spans="1:41" ht="13.5" customHeight="1">
      <c r="A24" s="12" t="s">
        <v>94</v>
      </c>
      <c r="B24" s="467" t="s">
        <v>574</v>
      </c>
      <c r="C24" s="467"/>
      <c r="D24" s="467"/>
      <c r="E24" s="467"/>
      <c r="F24" s="467">
        <f>SUM('Datos de Proyecto'!P21:P40)</f>
        <v>1</v>
      </c>
      <c r="G24" s="467"/>
      <c r="H24" s="467"/>
      <c r="I24" s="113"/>
      <c r="J24" s="543" t="s">
        <v>573</v>
      </c>
      <c r="K24" s="544"/>
      <c r="L24" s="544"/>
      <c r="M24" s="544"/>
      <c r="N24" s="544"/>
      <c r="O24" s="545"/>
      <c r="P24" s="81">
        <f>IFERROR('Cuenta total'!$AP$14,0)</f>
        <v>0</v>
      </c>
      <c r="Q24" s="81">
        <f>IFERROR('Cuenta total'!$AP$15,0)</f>
        <v>0</v>
      </c>
      <c r="R24" s="81">
        <f>IFERROR('Cuenta total'!$AP$16,0)</f>
        <v>0</v>
      </c>
      <c r="S24" s="81">
        <f>IFERROR('Cuenta total'!$AP$17,0)</f>
        <v>0</v>
      </c>
      <c r="T24" s="81">
        <f>IFERROR('Cuenta total'!$AP$18,0)</f>
        <v>0</v>
      </c>
      <c r="U24" s="81">
        <f>IFERROR('Cuenta total'!$AP$19,0)</f>
        <v>0</v>
      </c>
      <c r="V24" s="81">
        <f>IFERROR('Cuenta total'!$AP$20,0)</f>
        <v>0</v>
      </c>
      <c r="W24" s="81">
        <f>IFERROR('Cuenta total'!$AP$21,0)</f>
        <v>0</v>
      </c>
      <c r="X24" s="81">
        <f>IFERROR('Cuenta total'!$AP$22,0)</f>
        <v>0</v>
      </c>
      <c r="Y24" s="81">
        <f>IFERROR('Cuenta total'!$AP$23,0)</f>
        <v>0</v>
      </c>
      <c r="Z24" s="7"/>
      <c r="AA24" s="7"/>
    </row>
    <row r="25" spans="1:41" ht="13.5" customHeight="1">
      <c r="A25" s="12"/>
      <c r="B25" s="467"/>
      <c r="C25" s="467"/>
      <c r="D25" s="467"/>
      <c r="E25" s="467"/>
      <c r="F25" s="12"/>
      <c r="G25" s="12"/>
      <c r="H25" s="12"/>
      <c r="I25" s="113"/>
      <c r="J25" s="543" t="s">
        <v>92</v>
      </c>
      <c r="K25" s="544"/>
      <c r="L25" s="544"/>
      <c r="M25" s="544"/>
      <c r="N25" s="544"/>
      <c r="O25" s="545"/>
      <c r="P25" s="81">
        <f>IFERROR('Cuenta total'!$AO$14,0)</f>
        <v>0</v>
      </c>
      <c r="Q25" s="81">
        <f>IFERROR('Cuenta total'!$AO$15,0)</f>
        <v>0</v>
      </c>
      <c r="R25" s="81">
        <f>IFERROR('Cuenta total'!$AO$16,0)</f>
        <v>0</v>
      </c>
      <c r="S25" s="81">
        <f>IFERROR('Cuenta total'!$AO$17,0)</f>
        <v>0</v>
      </c>
      <c r="T25" s="81">
        <f>IFERROR('Cuenta total'!$AO$18,0)</f>
        <v>0</v>
      </c>
      <c r="U25" s="81">
        <f>IFERROR('Cuenta total'!$AO$19,0)</f>
        <v>0</v>
      </c>
      <c r="V25" s="81">
        <f>IFERROR('Cuenta total'!$AO$20,0)</f>
        <v>0</v>
      </c>
      <c r="W25" s="81">
        <f>IFERROR('Cuenta total'!$AO$21,0)</f>
        <v>0</v>
      </c>
      <c r="X25" s="81">
        <f>IFERROR('Cuenta total'!$AO$22,0)</f>
        <v>0</v>
      </c>
      <c r="Y25" s="81">
        <f>IFERROR('Cuenta total'!$AO$23,0)</f>
        <v>0</v>
      </c>
      <c r="Z25" s="7"/>
      <c r="AA25" s="7"/>
    </row>
    <row r="26" spans="1:41" ht="13.5" customHeight="1">
      <c r="A26" s="12"/>
      <c r="B26" s="467"/>
      <c r="C26" s="467"/>
      <c r="D26" s="467"/>
      <c r="E26" s="467"/>
      <c r="F26" s="467"/>
      <c r="I26" s="12"/>
      <c r="Z26" s="7"/>
      <c r="AA26" s="7"/>
    </row>
    <row r="27" spans="1:41" ht="13.5" customHeight="1">
      <c r="A27" s="8"/>
      <c r="B27" s="489" t="s">
        <v>95</v>
      </c>
      <c r="C27" s="489"/>
      <c r="D27" s="489"/>
      <c r="E27" s="489"/>
      <c r="F27" s="107"/>
      <c r="G27" s="8"/>
      <c r="H27" s="8"/>
      <c r="Z27" s="7"/>
      <c r="AA27" s="7"/>
    </row>
    <row r="28" spans="1:41" ht="13.5" customHeight="1">
      <c r="Z28" s="7"/>
      <c r="AA28" s="7"/>
    </row>
    <row r="29" spans="1:41" ht="13.5" customHeight="1">
      <c r="A29" s="7"/>
      <c r="B29" s="7"/>
      <c r="C29" s="7"/>
      <c r="D29" s="7"/>
      <c r="E29" s="7"/>
      <c r="F29" s="7"/>
      <c r="G29" s="7"/>
      <c r="H29" s="7"/>
      <c r="Z29" s="7"/>
      <c r="AA29" s="7"/>
      <c r="AB29" s="7"/>
      <c r="AC29" s="7"/>
      <c r="AD29" s="7"/>
      <c r="AE29" s="7"/>
      <c r="AF29" s="7"/>
      <c r="AG29" s="7"/>
      <c r="AH29" s="7"/>
      <c r="AI29" s="7"/>
      <c r="AJ29" s="7"/>
      <c r="AK29" s="7"/>
      <c r="AL29" s="7"/>
      <c r="AM29" s="7"/>
      <c r="AN29" s="7"/>
      <c r="AO29" s="7"/>
    </row>
    <row r="30" spans="1:41" ht="13.5" customHeight="1">
      <c r="A30" s="7"/>
      <c r="B30" s="7"/>
      <c r="C30" s="7"/>
      <c r="D30" s="7"/>
      <c r="E30" s="7"/>
      <c r="F30" s="7"/>
      <c r="G30" s="7"/>
      <c r="H30" s="7"/>
      <c r="I30" s="7"/>
      <c r="Z30" s="7"/>
      <c r="AA30" s="7"/>
      <c r="AB30" s="7"/>
      <c r="AC30" s="7"/>
      <c r="AD30" s="7"/>
      <c r="AE30" s="7"/>
      <c r="AF30" s="7"/>
      <c r="AG30" s="7"/>
      <c r="AH30" s="7"/>
      <c r="AI30" s="7"/>
      <c r="AJ30" s="7"/>
      <c r="AK30" s="7"/>
      <c r="AL30" s="7"/>
      <c r="AM30" s="7"/>
      <c r="AN30" s="7" t="s">
        <v>145</v>
      </c>
      <c r="AO30" s="7"/>
    </row>
    <row r="31" spans="1:41" ht="13.5" customHeight="1">
      <c r="A31" s="7"/>
      <c r="B31" s="7"/>
      <c r="C31" s="7"/>
      <c r="D31" s="7"/>
      <c r="E31" s="7"/>
      <c r="F31" s="7"/>
      <c r="G31" s="7"/>
      <c r="H31" s="7"/>
      <c r="I31" s="7"/>
      <c r="Z31" s="7"/>
      <c r="AA31" s="7"/>
      <c r="AB31" s="7"/>
      <c r="AC31" s="7"/>
      <c r="AD31" s="7"/>
      <c r="AE31" s="7"/>
      <c r="AF31" s="7"/>
      <c r="AG31" s="7"/>
      <c r="AH31" s="7"/>
      <c r="AI31" s="7"/>
      <c r="AJ31" s="7"/>
      <c r="AK31" s="7"/>
      <c r="AL31" s="7"/>
      <c r="AM31" s="7"/>
      <c r="AN31" s="7"/>
      <c r="AO31" s="7"/>
    </row>
    <row r="32" spans="1:41" ht="13.5" customHeight="1">
      <c r="A32" s="7"/>
      <c r="B32" s="7"/>
      <c r="C32" s="7"/>
      <c r="D32" s="7"/>
      <c r="E32" s="7"/>
      <c r="F32" s="7"/>
      <c r="G32" s="7"/>
      <c r="H32" s="7"/>
      <c r="I32" s="7"/>
      <c r="Z32" s="7"/>
      <c r="AA32" s="7"/>
      <c r="AB32" s="7"/>
      <c r="AC32" s="7"/>
      <c r="AD32" s="7"/>
      <c r="AE32" s="7"/>
      <c r="AF32" s="7"/>
      <c r="AG32" s="7"/>
      <c r="AH32" s="7"/>
      <c r="AI32" s="7"/>
      <c r="AJ32" s="7"/>
      <c r="AK32" s="7"/>
      <c r="AL32" s="7"/>
      <c r="AM32" s="7"/>
      <c r="AN32" s="7"/>
      <c r="AO32" s="7"/>
    </row>
    <row r="33" spans="1:41" ht="13.5" customHeight="1">
      <c r="A33" s="7"/>
      <c r="B33" s="7"/>
      <c r="C33" s="7"/>
      <c r="D33" s="7"/>
      <c r="E33" s="7"/>
      <c r="F33" s="7"/>
      <c r="G33" s="7"/>
      <c r="H33" s="7"/>
      <c r="I33" s="7"/>
      <c r="Z33" s="7"/>
      <c r="AA33" s="7"/>
      <c r="AB33" s="7"/>
      <c r="AC33" s="7"/>
      <c r="AD33" s="7"/>
      <c r="AE33" s="7"/>
      <c r="AF33" s="7"/>
      <c r="AG33" s="7"/>
      <c r="AH33" s="7"/>
      <c r="AI33" s="7"/>
      <c r="AJ33" s="7"/>
      <c r="AK33" s="7"/>
      <c r="AL33" s="7"/>
      <c r="AM33" s="7"/>
      <c r="AN33" s="7"/>
      <c r="AO33" s="7"/>
    </row>
    <row r="34" spans="1:41" ht="13.5" customHeight="1">
      <c r="A34" s="7"/>
      <c r="B34" s="7"/>
      <c r="D34" s="9"/>
      <c r="I34" s="7"/>
      <c r="Z34" s="7"/>
      <c r="AA34" s="7"/>
      <c r="AB34" s="7"/>
      <c r="AC34" s="7"/>
      <c r="AD34" s="7"/>
      <c r="AE34" s="7"/>
      <c r="AF34" s="7"/>
      <c r="AG34" s="7"/>
      <c r="AH34" s="7"/>
      <c r="AI34" s="7"/>
      <c r="AJ34" s="7"/>
      <c r="AK34" s="7"/>
      <c r="AL34" s="7"/>
      <c r="AM34" s="7"/>
      <c r="AN34" s="7"/>
      <c r="AO34" s="7"/>
    </row>
    <row r="35" spans="1:41" ht="13.5" customHeight="1">
      <c r="A35" s="7"/>
      <c r="B35" s="7"/>
      <c r="D35" s="9"/>
      <c r="Z35" s="7"/>
      <c r="AA35" s="7"/>
      <c r="AB35" s="7"/>
      <c r="AC35" s="7"/>
      <c r="AD35" s="7"/>
      <c r="AE35" s="7"/>
      <c r="AF35" s="7"/>
      <c r="AG35" s="7"/>
      <c r="AH35" s="7"/>
      <c r="AI35" s="7"/>
      <c r="AJ35" s="7"/>
      <c r="AK35" s="7"/>
      <c r="AL35" s="7"/>
      <c r="AM35" s="7"/>
      <c r="AN35" s="7"/>
      <c r="AO35" s="7"/>
    </row>
    <row r="36" spans="1:41" ht="13.5" customHeight="1">
      <c r="A36" s="7"/>
      <c r="B36" s="7"/>
      <c r="D36" s="9"/>
      <c r="Z36" s="7"/>
      <c r="AA36" s="7"/>
      <c r="AB36" s="7"/>
      <c r="AC36" s="7"/>
      <c r="AD36" s="7"/>
      <c r="AE36" s="7"/>
      <c r="AF36" s="7"/>
      <c r="AG36" s="7"/>
      <c r="AH36" s="7"/>
      <c r="AI36" s="7"/>
      <c r="AJ36" s="7"/>
      <c r="AK36" s="7"/>
      <c r="AL36" s="7"/>
      <c r="AM36" s="7"/>
      <c r="AN36" s="7"/>
      <c r="AO36" s="7"/>
    </row>
    <row r="37" spans="1:41" ht="13.5" customHeight="1">
      <c r="Z37" s="7"/>
      <c r="AA37" s="7"/>
      <c r="AB37" s="7"/>
      <c r="AC37" s="7"/>
      <c r="AD37" s="7"/>
      <c r="AE37" s="7"/>
      <c r="AF37" s="7"/>
      <c r="AG37" s="7"/>
      <c r="AH37" s="7"/>
      <c r="AI37" s="7"/>
      <c r="AJ37" s="7"/>
      <c r="AK37" s="7"/>
      <c r="AL37" s="7"/>
      <c r="AM37" s="7"/>
      <c r="AN37" s="7"/>
      <c r="AO37" s="7"/>
    </row>
    <row r="38" spans="1:41" ht="13.5" customHeight="1">
      <c r="Z38" s="7"/>
      <c r="AA38" s="7"/>
      <c r="AB38" s="7"/>
      <c r="AC38" s="7"/>
      <c r="AD38" s="7"/>
      <c r="AE38" s="7"/>
      <c r="AF38" s="7"/>
      <c r="AG38" s="7"/>
      <c r="AH38" s="7"/>
      <c r="AI38" s="7"/>
      <c r="AJ38" s="7"/>
      <c r="AK38" s="7"/>
      <c r="AL38" s="7"/>
      <c r="AM38" s="7"/>
      <c r="AN38" s="7"/>
      <c r="AO38" s="7"/>
    </row>
    <row r="39" spans="1:41" ht="13.5" customHeight="1">
      <c r="Z39" s="7"/>
      <c r="AA39" s="7"/>
      <c r="AB39" s="7"/>
      <c r="AC39" s="7"/>
      <c r="AD39" s="7"/>
      <c r="AE39" s="7"/>
      <c r="AF39" s="7"/>
      <c r="AG39" s="7"/>
      <c r="AH39" s="7"/>
      <c r="AI39" s="7"/>
      <c r="AJ39" s="7"/>
      <c r="AK39" s="7"/>
      <c r="AL39" s="7"/>
      <c r="AM39" s="7"/>
      <c r="AN39" s="7"/>
      <c r="AO39" s="7"/>
    </row>
    <row r="40" spans="1:41" ht="13.5" customHeight="1">
      <c r="Z40" s="7"/>
      <c r="AA40" s="7"/>
      <c r="AB40" s="7"/>
      <c r="AC40" s="7"/>
      <c r="AD40" s="7"/>
      <c r="AE40" s="7"/>
      <c r="AF40" s="7"/>
      <c r="AG40" s="7"/>
      <c r="AH40" s="7"/>
      <c r="AI40" s="7"/>
      <c r="AJ40" s="7"/>
      <c r="AK40" s="7"/>
      <c r="AL40" s="7"/>
      <c r="AM40" s="7"/>
      <c r="AN40" s="7"/>
      <c r="AO40" s="7"/>
    </row>
    <row r="41" spans="1:41" ht="13.5" customHeight="1">
      <c r="Z41" s="7"/>
      <c r="AA41" s="7"/>
      <c r="AB41" s="7"/>
      <c r="AC41" s="7"/>
      <c r="AD41" s="7"/>
      <c r="AE41" s="7"/>
      <c r="AF41" s="7"/>
      <c r="AG41" s="7"/>
      <c r="AH41" s="7"/>
      <c r="AI41" s="7"/>
      <c r="AJ41" s="7"/>
      <c r="AK41" s="7"/>
      <c r="AL41" s="7"/>
      <c r="AM41" s="7"/>
      <c r="AN41" s="7"/>
      <c r="AO41" s="7"/>
    </row>
    <row r="42" spans="1:41" ht="13.5" customHeight="1">
      <c r="Z42" s="7"/>
      <c r="AA42" s="7"/>
      <c r="AB42" s="7"/>
      <c r="AC42" s="7"/>
      <c r="AD42" s="7"/>
      <c r="AE42" s="7"/>
      <c r="AF42" s="7"/>
      <c r="AG42" s="7"/>
      <c r="AH42" s="7"/>
      <c r="AI42" s="7"/>
      <c r="AJ42" s="7"/>
      <c r="AK42" s="7"/>
      <c r="AL42" s="7"/>
      <c r="AM42" s="7"/>
      <c r="AN42" s="7"/>
      <c r="AO42" s="7"/>
    </row>
    <row r="43" spans="1:41" ht="13.5" customHeight="1">
      <c r="J43" s="511"/>
      <c r="K43" s="511"/>
      <c r="L43" s="511"/>
      <c r="M43" s="511"/>
      <c r="N43" s="511"/>
      <c r="O43" s="511"/>
      <c r="P43" s="511"/>
      <c r="Q43" s="511"/>
      <c r="R43" s="511"/>
      <c r="S43" s="511"/>
      <c r="T43" s="511"/>
      <c r="U43" s="511"/>
      <c r="Z43" s="7"/>
      <c r="AA43" s="7"/>
      <c r="AB43" s="7"/>
      <c r="AC43" s="7"/>
      <c r="AD43" s="7"/>
      <c r="AE43" s="7"/>
      <c r="AF43" s="7"/>
      <c r="AG43" s="7"/>
      <c r="AH43" s="7"/>
      <c r="AI43" s="7"/>
      <c r="AJ43" s="7"/>
      <c r="AK43" s="7"/>
      <c r="AL43" s="7"/>
      <c r="AM43" s="7"/>
      <c r="AN43" s="7"/>
      <c r="AO43" s="7"/>
    </row>
    <row r="44" spans="1:41" ht="13.5" customHeight="1">
      <c r="J44" s="511"/>
      <c r="K44" s="511"/>
      <c r="L44" s="511"/>
      <c r="M44" s="511"/>
      <c r="N44" s="511"/>
      <c r="O44" s="511"/>
      <c r="P44" s="511"/>
      <c r="Q44" s="511"/>
      <c r="R44" s="511"/>
      <c r="S44" s="511"/>
      <c r="T44" s="511"/>
      <c r="U44" s="511"/>
      <c r="Z44" s="7"/>
      <c r="AA44" s="7"/>
      <c r="AB44" s="7"/>
      <c r="AC44" s="7"/>
      <c r="AD44" s="7"/>
      <c r="AE44" s="7"/>
      <c r="AF44" s="7"/>
      <c r="AG44" s="7"/>
      <c r="AH44" s="7"/>
      <c r="AI44" s="7"/>
      <c r="AJ44" s="7"/>
      <c r="AK44" s="7"/>
      <c r="AL44" s="7"/>
      <c r="AM44" s="7"/>
      <c r="AN44" s="7"/>
      <c r="AO44" s="7"/>
    </row>
    <row r="45" spans="1:41" ht="13.5" customHeight="1">
      <c r="J45" s="511"/>
      <c r="K45" s="511"/>
      <c r="L45" s="511"/>
      <c r="M45" s="511"/>
      <c r="N45" s="511"/>
      <c r="O45" s="511"/>
      <c r="P45" s="511"/>
      <c r="Q45" s="511"/>
      <c r="R45" s="511"/>
      <c r="S45" s="511"/>
      <c r="T45" s="511"/>
      <c r="U45" s="511"/>
      <c r="Z45" s="7"/>
      <c r="AA45" s="7"/>
      <c r="AB45" s="7"/>
      <c r="AC45" s="7"/>
      <c r="AD45" s="7"/>
      <c r="AE45" s="7"/>
      <c r="AF45" s="7"/>
      <c r="AG45" s="7"/>
      <c r="AH45" s="7"/>
      <c r="AI45" s="7"/>
      <c r="AJ45" s="7"/>
      <c r="AK45" s="7"/>
      <c r="AL45" s="7"/>
      <c r="AM45" s="7"/>
      <c r="AN45" s="7"/>
      <c r="AO45" s="7"/>
    </row>
    <row r="46" spans="1:41" ht="13.5" customHeight="1">
      <c r="Z46" s="7"/>
      <c r="AA46" s="7"/>
      <c r="AB46" s="7"/>
      <c r="AC46" s="7"/>
      <c r="AD46" s="7"/>
      <c r="AE46" s="7"/>
      <c r="AF46" s="7"/>
      <c r="AG46" s="7"/>
      <c r="AH46" s="7"/>
      <c r="AI46" s="7"/>
      <c r="AJ46" s="7"/>
      <c r="AK46" s="7"/>
      <c r="AL46" s="7"/>
      <c r="AM46" s="7"/>
      <c r="AN46" s="7"/>
      <c r="AO46" s="7"/>
    </row>
    <row r="47" spans="1:41" ht="13.5" customHeight="1">
      <c r="Z47" s="7"/>
      <c r="AA47" s="7"/>
      <c r="AB47" s="7"/>
      <c r="AC47" s="7"/>
      <c r="AD47" s="7"/>
      <c r="AE47" s="7"/>
      <c r="AF47" s="7"/>
      <c r="AG47" s="7"/>
      <c r="AH47" s="7"/>
      <c r="AI47" s="7"/>
      <c r="AJ47" s="7"/>
      <c r="AK47" s="7"/>
      <c r="AL47" s="7"/>
      <c r="AM47" s="7"/>
      <c r="AN47" s="7"/>
      <c r="AO47" s="7"/>
    </row>
    <row r="48" spans="1:41" ht="13.5" customHeight="1">
      <c r="Z48" s="7"/>
      <c r="AA48" s="7"/>
      <c r="AB48" s="7"/>
      <c r="AC48" s="7"/>
      <c r="AD48" s="7"/>
      <c r="AE48" s="7"/>
      <c r="AF48" s="7"/>
      <c r="AG48" s="7"/>
      <c r="AH48" s="7"/>
      <c r="AI48" s="7"/>
      <c r="AJ48" s="7"/>
      <c r="AK48" s="7"/>
      <c r="AL48" s="7"/>
      <c r="AM48" s="7"/>
      <c r="AN48" s="7"/>
      <c r="AO48" s="7"/>
    </row>
    <row r="49" ht="13.5" customHeight="1"/>
  </sheetData>
  <sheetProtection algorithmName="SHA-512" hashValue="saA5G8WHNRhqExqpdJp2fkj+Ra8F8+4Rjw+forrh9NDXGOd6QdAKmOpvs84jonqp2LpH5O5EeLpYQ2lJlZZNCA==" saltValue="B4W5SbnSGi950ggaCgoUmw==" spinCount="100000" sheet="1" selectLockedCells="1" selectUnlockedCells="1"/>
  <mergeCells count="44">
    <mergeCell ref="D8:E10"/>
    <mergeCell ref="F8:F10"/>
    <mergeCell ref="B15:E16"/>
    <mergeCell ref="A17:I18"/>
    <mergeCell ref="B26:D26"/>
    <mergeCell ref="E26:F26"/>
    <mergeCell ref="F24:H24"/>
    <mergeCell ref="B20:E20"/>
    <mergeCell ref="F20:H20"/>
    <mergeCell ref="F21:H21"/>
    <mergeCell ref="F22:H22"/>
    <mergeCell ref="F23:H23"/>
    <mergeCell ref="F19:H19"/>
    <mergeCell ref="B19:E19"/>
    <mergeCell ref="J45:O45"/>
    <mergeCell ref="P45:U45"/>
    <mergeCell ref="J22:O22"/>
    <mergeCell ref="J23:O23"/>
    <mergeCell ref="J24:O24"/>
    <mergeCell ref="J43:O43"/>
    <mergeCell ref="P43:U43"/>
    <mergeCell ref="J44:O44"/>
    <mergeCell ref="P44:U44"/>
    <mergeCell ref="J25:O25"/>
    <mergeCell ref="J4:Y4"/>
    <mergeCell ref="J21:O21"/>
    <mergeCell ref="J5:O5"/>
    <mergeCell ref="J7:O7"/>
    <mergeCell ref="J8:O8"/>
    <mergeCell ref="J9:O9"/>
    <mergeCell ref="J11:O11"/>
    <mergeCell ref="J10:O10"/>
    <mergeCell ref="J12:O12"/>
    <mergeCell ref="J18:O18"/>
    <mergeCell ref="J19:O19"/>
    <mergeCell ref="J20:O20"/>
    <mergeCell ref="J6:O6"/>
    <mergeCell ref="J17:Y17"/>
    <mergeCell ref="B27:E27"/>
    <mergeCell ref="B21:E21"/>
    <mergeCell ref="B22:E22"/>
    <mergeCell ref="B23:E23"/>
    <mergeCell ref="B24:E24"/>
    <mergeCell ref="B25:E25"/>
  </mergeCells>
  <conditionalFormatting sqref="B15:E16">
    <cfRule type="expression" dxfId="5" priority="1">
      <formula>$B$20="S RAIL 28"</formula>
    </cfRule>
  </conditionalFormatting>
  <pageMargins left="0.7" right="0.7" top="0.75" bottom="0.75" header="0.3" footer="0.3"/>
  <pageSetup scale="96" orientation="portrait" r:id="rId1"/>
  <headerFooter>
    <oddHeader>&amp;L&amp;G&amp;C&amp;"BayWa Sans Book,Negrita"&amp;16&amp;K278C46Metal Sheet&amp;R&amp;"BayWa Sans Book,Normal"&amp;D
&amp;T</oddHeader>
    <oddFooter>&amp;R&amp;P</oddFooter>
  </headerFooter>
  <colBreaks count="1" manualBreakCount="1">
    <brk id="9" max="50" man="1"/>
  </col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821BF-AE23-47B8-AEA8-CF998C3B0D22}">
  <sheetPr codeName="Hoja13"/>
  <dimension ref="A2:AN52"/>
  <sheetViews>
    <sheetView showZeros="0" topLeftCell="A13" zoomScale="80" zoomScaleNormal="80" workbookViewId="0">
      <selection activeCell="G34" sqref="G34"/>
    </sheetView>
  </sheetViews>
  <sheetFormatPr defaultColWidth="10.81640625" defaultRowHeight="14.5"/>
  <cols>
    <col min="1" max="1" width="12.453125" style="1" bestFit="1" customWidth="1"/>
    <col min="2" max="2" width="10.81640625" style="1"/>
    <col min="3" max="3" width="25.453125" style="1" bestFit="1" customWidth="1"/>
    <col min="4" max="4" width="18.81640625" style="1" customWidth="1"/>
    <col min="5" max="5" width="10.81640625" style="1"/>
    <col min="6" max="6" width="4" style="1" customWidth="1"/>
    <col min="7" max="7" width="4.81640625" style="1" customWidth="1"/>
    <col min="8" max="11" width="3.1796875" style="1" customWidth="1"/>
    <col min="12" max="14" width="4" style="1" customWidth="1"/>
    <col min="15" max="24" width="6.81640625" style="1" customWidth="1"/>
    <col min="25" max="27" width="3.1796875" style="1" customWidth="1"/>
    <col min="28" max="30" width="4" style="1" customWidth="1"/>
    <col min="31" max="40" width="6.81640625" style="1" customWidth="1"/>
    <col min="41" max="16384" width="10.81640625" style="1"/>
  </cols>
  <sheetData>
    <row r="2" spans="1:24" ht="13.5" customHeight="1">
      <c r="I2" s="7"/>
      <c r="J2" s="7"/>
      <c r="K2" s="7"/>
      <c r="L2" s="7"/>
      <c r="M2" s="7"/>
      <c r="N2" s="7"/>
      <c r="O2" s="7"/>
      <c r="P2" s="7"/>
      <c r="Q2" s="7"/>
      <c r="R2" s="7"/>
      <c r="S2" s="7"/>
      <c r="T2" s="7"/>
      <c r="U2" s="7"/>
      <c r="V2" s="7"/>
      <c r="W2" s="7"/>
      <c r="X2" s="7"/>
    </row>
    <row r="3" spans="1:24" ht="13.5" customHeight="1">
      <c r="A3" s="520" t="s">
        <v>34</v>
      </c>
      <c r="B3" s="520"/>
      <c r="C3" s="443">
        <f>nm</f>
        <v>0</v>
      </c>
      <c r="D3" s="443"/>
      <c r="E3" s="443"/>
      <c r="F3" s="443"/>
      <c r="G3" s="443"/>
      <c r="I3" s="7"/>
      <c r="J3" s="7"/>
      <c r="K3" s="7"/>
      <c r="L3" s="7"/>
      <c r="M3" s="7"/>
      <c r="N3" s="7"/>
      <c r="O3" s="7"/>
      <c r="P3" s="7"/>
      <c r="Q3" s="7"/>
      <c r="R3" s="7"/>
      <c r="S3" s="7"/>
      <c r="T3" s="7"/>
      <c r="U3" s="7"/>
      <c r="V3" s="7"/>
      <c r="W3" s="7"/>
      <c r="X3" s="7"/>
    </row>
    <row r="4" spans="1:24" ht="13.5" customHeight="1">
      <c r="A4" s="3" t="s">
        <v>35</v>
      </c>
      <c r="B4" s="3"/>
      <c r="C4" s="2">
        <f>cnt</f>
        <v>0</v>
      </c>
      <c r="I4" s="7"/>
      <c r="J4" s="7"/>
      <c r="K4" s="7"/>
      <c r="L4" s="7"/>
      <c r="M4" s="7"/>
      <c r="N4" s="7"/>
      <c r="O4" s="7"/>
      <c r="P4" s="7"/>
      <c r="Q4" s="7"/>
      <c r="R4" s="7"/>
      <c r="S4" s="7"/>
      <c r="T4" s="7"/>
      <c r="U4" s="7"/>
      <c r="V4" s="7"/>
      <c r="W4" s="7"/>
      <c r="X4" s="7"/>
    </row>
    <row r="5" spans="1:24" ht="13.5" customHeight="1">
      <c r="A5" s="3" t="s">
        <v>67</v>
      </c>
      <c r="B5" s="3"/>
      <c r="C5" s="520">
        <f>'Datos de Proyecto'!C12</f>
        <v>0</v>
      </c>
      <c r="D5" s="520"/>
      <c r="I5" s="7"/>
      <c r="J5" s="7"/>
      <c r="K5" s="7"/>
      <c r="L5" s="7"/>
      <c r="M5" s="7"/>
      <c r="N5" s="7"/>
      <c r="O5" s="7"/>
      <c r="P5" s="7"/>
      <c r="Q5" s="7"/>
      <c r="R5" s="7"/>
      <c r="S5" s="7"/>
      <c r="T5" s="7"/>
      <c r="U5" s="7"/>
      <c r="V5" s="7"/>
      <c r="W5" s="7"/>
      <c r="X5" s="7"/>
    </row>
    <row r="6" spans="1:24" ht="13.5" customHeight="1">
      <c r="A6" s="2" t="s">
        <v>69</v>
      </c>
      <c r="C6" s="2" t="str">
        <f>'Datos de Proyecto'!C15</f>
        <v xml:space="preserve">Colima / Colima </v>
      </c>
      <c r="I6" s="7"/>
      <c r="J6" s="7"/>
      <c r="K6" s="7"/>
      <c r="L6" s="7"/>
      <c r="M6" s="7"/>
      <c r="N6" s="7"/>
      <c r="O6" s="7"/>
      <c r="P6" s="7"/>
      <c r="Q6" s="7"/>
      <c r="R6" s="7"/>
      <c r="S6" s="7"/>
      <c r="T6" s="7"/>
      <c r="U6" s="7"/>
      <c r="V6" s="7"/>
      <c r="W6" s="7"/>
      <c r="X6" s="7"/>
    </row>
    <row r="7" spans="1:24" ht="13.5" customHeight="1">
      <c r="A7" s="3" t="s">
        <v>101</v>
      </c>
      <c r="B7" s="3"/>
      <c r="C7" s="104">
        <f>'Datos de Proyecto'!C16</f>
        <v>120</v>
      </c>
      <c r="I7" s="7"/>
      <c r="J7" s="7"/>
      <c r="K7" s="7"/>
      <c r="L7" s="7"/>
      <c r="M7" s="7"/>
      <c r="N7" s="7"/>
      <c r="O7" s="7"/>
      <c r="P7" s="7"/>
      <c r="Q7" s="7"/>
      <c r="R7" s="7"/>
      <c r="S7" s="7"/>
      <c r="T7" s="7"/>
      <c r="U7" s="7"/>
      <c r="V7" s="7"/>
      <c r="W7" s="7"/>
      <c r="X7" s="7"/>
    </row>
    <row r="8" spans="1:24" ht="13.5" customHeight="1">
      <c r="A8" s="2" t="s">
        <v>72</v>
      </c>
      <c r="B8" s="2"/>
      <c r="C8" s="105">
        <f>'Datos de Proyecto'!D24</f>
        <v>615</v>
      </c>
      <c r="I8" s="7"/>
      <c r="J8" s="7"/>
      <c r="K8" s="7"/>
      <c r="L8" s="7"/>
      <c r="M8" s="7"/>
      <c r="N8" s="7"/>
      <c r="O8" s="7"/>
      <c r="P8" s="7"/>
      <c r="Q8" s="7"/>
      <c r="R8" s="7"/>
      <c r="S8" s="7"/>
      <c r="T8" s="7"/>
      <c r="U8" s="7"/>
      <c r="V8" s="7"/>
      <c r="W8" s="7"/>
      <c r="X8" s="7"/>
    </row>
    <row r="9" spans="1:24" ht="13.5" customHeight="1">
      <c r="A9" s="2" t="s">
        <v>74</v>
      </c>
      <c r="B9" s="2"/>
      <c r="C9" s="3">
        <f>SUM('Datos de Proyecto'!G21:G40,'Datos de Proyecto'!J21:J40,'Datos de Proyecto'!M21:M40,'Datos de Proyecto'!P21:P40)</f>
        <v>4</v>
      </c>
      <c r="I9" s="7"/>
      <c r="J9" s="7"/>
      <c r="K9" s="7"/>
      <c r="L9" s="7"/>
      <c r="M9" s="7"/>
      <c r="N9" s="7"/>
      <c r="O9" s="7"/>
    </row>
    <row r="10" spans="1:24" ht="13.5" customHeight="1">
      <c r="A10" s="2" t="s">
        <v>75</v>
      </c>
      <c r="C10" s="3">
        <f>'Datos de Proyecto'!U15</f>
        <v>40</v>
      </c>
      <c r="I10" s="7"/>
      <c r="J10" s="7"/>
      <c r="K10" s="7"/>
      <c r="L10" s="7"/>
      <c r="M10" s="7"/>
      <c r="N10" s="7"/>
      <c r="O10" s="7"/>
      <c r="P10" s="7"/>
      <c r="Q10" s="7"/>
      <c r="R10" s="7"/>
      <c r="S10" s="7"/>
      <c r="T10" s="7"/>
      <c r="U10" s="7"/>
      <c r="V10" s="7"/>
      <c r="W10" s="7"/>
      <c r="X10" s="7"/>
    </row>
    <row r="11" spans="1:24" ht="13.5" customHeight="1">
      <c r="A11" s="2" t="s">
        <v>77</v>
      </c>
      <c r="C11" s="106">
        <f>ROUNDUP(C10*'Datos de Proyecto'!D25*'Datos de Proyecto'!D26*1.2,0)</f>
        <v>130</v>
      </c>
      <c r="I11" s="7"/>
      <c r="J11" s="7"/>
      <c r="K11" s="7"/>
      <c r="L11" s="7"/>
      <c r="M11" s="7"/>
      <c r="N11" s="7"/>
      <c r="O11" s="7"/>
    </row>
    <row r="12" spans="1:24" ht="13.5" customHeight="1">
      <c r="A12" s="2"/>
      <c r="C12" s="106"/>
      <c r="I12" s="7"/>
      <c r="J12" s="7"/>
      <c r="K12" s="7"/>
      <c r="L12" s="7"/>
      <c r="M12" s="7"/>
      <c r="N12" s="7"/>
      <c r="O12" s="7"/>
    </row>
    <row r="13" spans="1:24" ht="13.5" customHeight="1">
      <c r="I13" s="7"/>
      <c r="J13" s="7"/>
      <c r="K13" s="7"/>
      <c r="L13" s="7"/>
      <c r="M13" s="7"/>
      <c r="N13" s="7"/>
      <c r="O13" s="7"/>
      <c r="P13" s="7"/>
      <c r="Q13" s="7"/>
      <c r="R13" s="7"/>
      <c r="S13" s="7"/>
      <c r="T13" s="7"/>
      <c r="U13" s="7"/>
      <c r="V13" s="7"/>
      <c r="W13" s="7"/>
      <c r="X13" s="7"/>
    </row>
    <row r="14" spans="1:24" ht="13.5" customHeight="1">
      <c r="A14" s="469" t="s">
        <v>78</v>
      </c>
      <c r="B14" s="469"/>
      <c r="C14" s="469"/>
      <c r="D14" s="469"/>
      <c r="E14" s="469"/>
      <c r="F14" s="469"/>
      <c r="G14" s="469"/>
      <c r="H14" s="469"/>
      <c r="I14" s="469"/>
      <c r="J14" s="7"/>
      <c r="K14" s="7"/>
      <c r="L14" s="7"/>
      <c r="M14" s="7"/>
      <c r="N14" s="7"/>
      <c r="O14" s="7"/>
      <c r="P14" s="7"/>
      <c r="Q14" s="7"/>
      <c r="R14" s="7"/>
      <c r="S14" s="7"/>
      <c r="T14" s="7"/>
      <c r="U14" s="7"/>
      <c r="V14" s="7"/>
      <c r="W14" s="7"/>
      <c r="X14" s="7"/>
    </row>
    <row r="15" spans="1:24" ht="13.5" customHeight="1">
      <c r="A15" s="469"/>
      <c r="B15" s="469"/>
      <c r="C15" s="469"/>
      <c r="D15" s="469"/>
      <c r="E15" s="469"/>
      <c r="F15" s="469"/>
      <c r="G15" s="469"/>
      <c r="H15" s="469"/>
      <c r="I15" s="469"/>
      <c r="J15" s="7"/>
      <c r="K15" s="7"/>
      <c r="L15" s="7"/>
      <c r="M15" s="7"/>
      <c r="N15" s="7"/>
      <c r="O15" s="7"/>
      <c r="P15" s="7"/>
      <c r="Q15" s="7"/>
      <c r="R15" s="7"/>
      <c r="S15" s="7"/>
      <c r="T15" s="7"/>
      <c r="U15" s="7"/>
      <c r="V15" s="7"/>
      <c r="W15" s="7"/>
      <c r="X15" s="7"/>
    </row>
    <row r="16" spans="1:24" ht="13.5" customHeight="1">
      <c r="A16" s="97"/>
      <c r="B16" s="97"/>
      <c r="C16" s="97"/>
      <c r="D16" s="97"/>
      <c r="E16" s="97"/>
      <c r="F16" s="97"/>
      <c r="G16" s="97"/>
      <c r="H16" s="97"/>
      <c r="I16" s="97"/>
      <c r="J16" s="7"/>
      <c r="K16" s="7"/>
      <c r="L16" s="7"/>
      <c r="M16" s="7"/>
      <c r="N16" s="7"/>
      <c r="O16" s="7"/>
      <c r="P16" s="7"/>
      <c r="Q16" s="7"/>
      <c r="R16" s="7"/>
      <c r="S16" s="7"/>
      <c r="T16" s="7"/>
      <c r="U16" s="7"/>
      <c r="V16" s="7"/>
      <c r="W16" s="7"/>
      <c r="X16" s="7"/>
    </row>
    <row r="17" spans="1:40" ht="13.5" customHeight="1">
      <c r="A17" s="550" t="s">
        <v>81</v>
      </c>
      <c r="B17" s="550" t="s">
        <v>82</v>
      </c>
      <c r="C17" s="550"/>
      <c r="D17" s="550"/>
      <c r="E17" s="550" t="s">
        <v>83</v>
      </c>
      <c r="F17" s="550"/>
      <c r="G17" s="550" t="s">
        <v>146</v>
      </c>
      <c r="H17" s="550"/>
      <c r="I17" s="550"/>
      <c r="J17" s="7"/>
      <c r="K17" s="7"/>
      <c r="L17" s="7"/>
      <c r="M17" s="7"/>
      <c r="N17" s="7"/>
      <c r="O17" s="7"/>
      <c r="P17" s="7"/>
      <c r="Q17" s="7"/>
      <c r="R17" s="7"/>
      <c r="S17" s="7"/>
      <c r="T17" s="7"/>
      <c r="U17" s="7"/>
      <c r="V17" s="7"/>
      <c r="W17" s="7"/>
      <c r="X17" s="7"/>
    </row>
    <row r="18" spans="1:40" ht="13.5" customHeight="1">
      <c r="A18" s="489"/>
      <c r="B18" s="489"/>
      <c r="C18" s="489"/>
      <c r="D18" s="489"/>
      <c r="E18" s="489"/>
      <c r="F18" s="489"/>
      <c r="G18" s="489"/>
      <c r="H18" s="489"/>
      <c r="I18" s="489"/>
      <c r="J18" s="7"/>
      <c r="K18" s="7"/>
      <c r="L18" s="7"/>
      <c r="M18" s="7"/>
      <c r="N18" s="7"/>
      <c r="O18" s="7"/>
      <c r="P18" s="7"/>
      <c r="Q18" s="7"/>
      <c r="R18" s="7"/>
      <c r="S18" s="7"/>
      <c r="T18" s="7"/>
      <c r="U18" s="7"/>
      <c r="V18" s="7"/>
      <c r="W18" s="7"/>
      <c r="X18" s="7"/>
    </row>
    <row r="19" spans="1:40" ht="13.5" customHeight="1">
      <c r="A19" s="12" t="s">
        <v>105</v>
      </c>
      <c r="B19" s="467" t="s">
        <v>104</v>
      </c>
      <c r="C19" s="467"/>
      <c r="D19" s="467"/>
      <c r="E19" s="467">
        <f>IFERROR(SUM('Cuenta total'!O4:O23,'Cuenta total'!AB4:AB23),0)</f>
        <v>0</v>
      </c>
      <c r="F19" s="467"/>
      <c r="G19" s="522">
        <f>ROUNDUP(E19*1.05,0)</f>
        <v>0</v>
      </c>
      <c r="H19" s="522"/>
      <c r="I19" s="522"/>
      <c r="J19" s="7"/>
      <c r="K19" s="7"/>
      <c r="L19" s="7"/>
      <c r="M19" s="7"/>
      <c r="N19" s="7"/>
      <c r="O19" s="7"/>
      <c r="P19" s="7"/>
      <c r="Q19" s="7"/>
      <c r="R19" s="7"/>
      <c r="S19" s="7"/>
      <c r="T19" s="7"/>
      <c r="U19" s="7"/>
      <c r="V19" s="7"/>
      <c r="W19" s="7"/>
      <c r="X19" s="7"/>
    </row>
    <row r="20" spans="1:40" ht="13.5" customHeight="1">
      <c r="A20" s="12" t="s">
        <v>85</v>
      </c>
      <c r="B20" s="467" t="s">
        <v>80</v>
      </c>
      <c r="C20" s="467"/>
      <c r="D20" s="467"/>
      <c r="E20" s="467">
        <f>IFERROR(SUM('Cuenta total'!F4:F23,'Cuenta total'!Q4:Q23,'Cuenta total'!AD4:AD23),0)</f>
        <v>42</v>
      </c>
      <c r="F20" s="467"/>
      <c r="G20" s="522">
        <f t="shared" ref="G20" si="0">ROUNDUP(E20*1.05,0)</f>
        <v>45</v>
      </c>
      <c r="H20" s="522"/>
      <c r="I20" s="522"/>
      <c r="J20" s="7"/>
      <c r="K20" s="7"/>
      <c r="L20" s="7"/>
      <c r="M20" s="7"/>
      <c r="N20" s="7"/>
      <c r="O20" s="7"/>
      <c r="P20" s="7"/>
      <c r="Q20" s="7"/>
      <c r="R20" s="7"/>
      <c r="S20" s="7"/>
      <c r="T20" s="7"/>
      <c r="U20" s="7"/>
      <c r="V20" s="7"/>
      <c r="W20" s="7"/>
      <c r="X20" s="7"/>
    </row>
    <row r="21" spans="1:40" ht="13.5" customHeight="1">
      <c r="A21" s="12" t="s">
        <v>87</v>
      </c>
      <c r="B21" s="467" t="s">
        <v>84</v>
      </c>
      <c r="C21" s="467"/>
      <c r="D21" s="467"/>
      <c r="E21" s="467">
        <f>SUM('Cuenta total'!G4:G23,'Cuenta total'!R4:R23,'Cuenta total'!AE4:AE23)</f>
        <v>12</v>
      </c>
      <c r="F21" s="467"/>
      <c r="G21" s="522">
        <f>EVEN(E21*1.05)</f>
        <v>14</v>
      </c>
      <c r="H21" s="522"/>
      <c r="I21" s="522"/>
      <c r="J21" s="7"/>
      <c r="K21" s="7"/>
      <c r="L21" s="7"/>
      <c r="M21" s="7"/>
      <c r="N21" s="7"/>
      <c r="O21" s="7"/>
      <c r="P21" s="7"/>
      <c r="Q21" s="7"/>
      <c r="R21" s="7"/>
      <c r="S21" s="7"/>
      <c r="T21" s="7"/>
      <c r="U21" s="7"/>
      <c r="V21" s="7"/>
      <c r="W21" s="7"/>
      <c r="X21" s="7"/>
    </row>
    <row r="22" spans="1:40" ht="13.5" customHeight="1">
      <c r="A22" s="12" t="str">
        <f>'Sistema S Rail'!A20</f>
        <v>N00018</v>
      </c>
      <c r="B22" s="467" t="str">
        <f>'Sistema S Rail'!B20</f>
        <v>S RAIL 40</v>
      </c>
      <c r="C22" s="467"/>
      <c r="D22" s="467"/>
      <c r="E22" s="467">
        <f>'Sistema S Rail'!F20</f>
        <v>22</v>
      </c>
      <c r="F22" s="467"/>
      <c r="G22" s="522">
        <f>IF(E22="",0,ROUNDUP(E22*1.05,0))</f>
        <v>24</v>
      </c>
      <c r="H22" s="522"/>
      <c r="I22" s="522"/>
      <c r="J22" s="7"/>
      <c r="K22" s="7"/>
      <c r="L22" s="7"/>
      <c r="M22" s="7"/>
      <c r="N22" s="7"/>
      <c r="O22" s="7"/>
      <c r="P22" s="7"/>
      <c r="Q22" s="7"/>
      <c r="R22" s="7"/>
      <c r="S22" s="7"/>
      <c r="T22" s="7"/>
      <c r="U22" s="7"/>
      <c r="V22" s="7"/>
      <c r="W22" s="7"/>
      <c r="X22" s="7"/>
    </row>
    <row r="23" spans="1:40" ht="13.5" customHeight="1">
      <c r="A23" s="12" t="s">
        <v>89</v>
      </c>
      <c r="B23" s="467" t="s">
        <v>86</v>
      </c>
      <c r="C23" s="467"/>
      <c r="D23" s="467"/>
      <c r="E23" s="467">
        <f>SUM('Cuenta total'!D4:D23,'Cuenta total'!M4:M23,'Cuenta total'!Z4:Z23,'Cuenta total'!AM4:AM23)</f>
        <v>16</v>
      </c>
      <c r="F23" s="467"/>
      <c r="G23" s="522">
        <f>EVEN(E23*1.05)</f>
        <v>18</v>
      </c>
      <c r="H23" s="522"/>
      <c r="I23" s="522"/>
      <c r="J23" s="7"/>
      <c r="K23" s="7"/>
      <c r="L23" s="7"/>
      <c r="M23" s="7"/>
      <c r="N23" s="7"/>
      <c r="O23" s="7"/>
      <c r="P23" s="7"/>
      <c r="Q23" s="7"/>
      <c r="R23" s="7"/>
      <c r="S23" s="7"/>
      <c r="T23" s="7"/>
      <c r="U23" s="7"/>
      <c r="V23" s="7"/>
      <c r="W23" s="7"/>
      <c r="X23" s="7"/>
    </row>
    <row r="24" spans="1:40" ht="13.5" customHeight="1">
      <c r="A24" s="12" t="s">
        <v>580</v>
      </c>
      <c r="B24" s="467" t="s">
        <v>579</v>
      </c>
      <c r="C24" s="467"/>
      <c r="D24" s="467"/>
      <c r="E24" s="467">
        <f>SUM('Cuenta total'!E4:E23,'Cuenta total'!N4:N23,'Cuenta total'!AA4:AA23,'Cuenta total'!AN4:AN23)</f>
        <v>72</v>
      </c>
      <c r="F24" s="467"/>
      <c r="G24" s="522">
        <f>EVEN(E24*1.05)</f>
        <v>76</v>
      </c>
      <c r="H24" s="522"/>
      <c r="I24" s="522"/>
      <c r="J24" s="7"/>
      <c r="K24" s="7"/>
      <c r="L24" s="7"/>
      <c r="M24" s="7"/>
      <c r="N24" s="7"/>
      <c r="O24" s="7"/>
      <c r="P24" s="7"/>
      <c r="Q24" s="7"/>
      <c r="R24" s="7"/>
      <c r="S24" s="7"/>
      <c r="T24" s="7"/>
      <c r="U24" s="7"/>
      <c r="V24" s="7"/>
      <c r="W24" s="7"/>
      <c r="X24" s="7"/>
    </row>
    <row r="25" spans="1:40" ht="13.5" customHeight="1">
      <c r="A25" s="12" t="s">
        <v>107</v>
      </c>
      <c r="B25" s="467" t="s">
        <v>106</v>
      </c>
      <c r="C25" s="467"/>
      <c r="D25" s="467"/>
      <c r="E25" s="467">
        <f>IFERROR(SUM('Cuenta total'!P4:P23,'Cuenta total'!AC4:AC23),0)</f>
        <v>0</v>
      </c>
      <c r="F25" s="467"/>
      <c r="G25" s="522">
        <f>ROUNDUP(E25*1.05,0)</f>
        <v>0</v>
      </c>
      <c r="H25" s="522"/>
      <c r="I25" s="522"/>
      <c r="J25" s="7"/>
      <c r="K25" s="7"/>
      <c r="L25" s="7"/>
      <c r="M25" s="7"/>
      <c r="N25" s="7"/>
      <c r="O25" s="7"/>
      <c r="P25" s="7"/>
      <c r="Q25" s="7"/>
      <c r="R25" s="7"/>
      <c r="S25" s="7"/>
      <c r="T25" s="7"/>
      <c r="U25" s="7"/>
      <c r="V25" s="7"/>
      <c r="W25" s="7"/>
      <c r="X25" s="7"/>
    </row>
    <row r="26" spans="1:40" ht="13.5" customHeight="1">
      <c r="A26" s="12" t="str">
        <f>IF('Datos de Proyecto'!$D$37=4.72,"N00023","-")</f>
        <v>N00023</v>
      </c>
      <c r="B26" s="467" t="str">
        <f>IF('Datos de Proyecto'!D37=4.72,"END CAP NOVOTEGRA","-")</f>
        <v>END CAP NOVOTEGRA</v>
      </c>
      <c r="C26" s="467"/>
      <c r="D26" s="467"/>
      <c r="E26" s="467">
        <f>IF('Datos de Proyecto'!D37=4.72,SUM('Cuenta total'!I4:I23,'Cuenta total'!T4:T23,'Cuenta total'!AG4:AG23),"")</f>
        <v>12</v>
      </c>
      <c r="F26" s="467"/>
      <c r="G26" s="522">
        <f>IF('Datos de Proyecto'!D37=4.72,ROUNDUP(E26*1.05,0),"")</f>
        <v>13</v>
      </c>
      <c r="H26" s="522"/>
      <c r="I26" s="522"/>
      <c r="J26" s="7"/>
      <c r="K26" s="7"/>
      <c r="L26" s="7"/>
      <c r="M26" s="7"/>
      <c r="N26" s="7"/>
      <c r="O26" s="7"/>
      <c r="P26" s="7"/>
      <c r="Q26" s="7"/>
      <c r="R26" s="7"/>
      <c r="S26" s="7"/>
      <c r="T26" s="7"/>
      <c r="U26" s="7"/>
      <c r="V26" s="7"/>
      <c r="W26" s="7"/>
      <c r="X26" s="7"/>
    </row>
    <row r="27" spans="1:40" ht="13.5" customHeight="1">
      <c r="A27" s="12" t="s">
        <v>93</v>
      </c>
      <c r="B27" s="467" t="s">
        <v>91</v>
      </c>
      <c r="C27" s="467"/>
      <c r="D27" s="467"/>
      <c r="E27" s="467">
        <f>'Sistema Coplanar'!F19+'Sistema Una fila'!F21+'Sistema Dos filas'!F22</f>
        <v>15</v>
      </c>
      <c r="F27" s="467"/>
      <c r="G27" s="522">
        <f>ROUNDUP(E27*1.05,0)</f>
        <v>16</v>
      </c>
      <c r="H27" s="522"/>
      <c r="I27" s="522"/>
      <c r="K27" s="7"/>
      <c r="L27" s="7"/>
      <c r="M27" s="7"/>
      <c r="N27" s="7"/>
      <c r="O27" s="7"/>
      <c r="P27" s="7"/>
      <c r="Q27" s="7"/>
      <c r="R27" s="7"/>
      <c r="S27" s="7"/>
      <c r="T27" s="7"/>
      <c r="U27" s="7"/>
      <c r="V27" s="7"/>
      <c r="W27" s="7"/>
      <c r="X27" s="7"/>
    </row>
    <row r="28" spans="1:40" ht="13.5" customHeight="1">
      <c r="A28" s="12" t="s">
        <v>94</v>
      </c>
      <c r="B28" s="467" t="s">
        <v>574</v>
      </c>
      <c r="C28" s="467"/>
      <c r="D28" s="467"/>
      <c r="E28" s="467">
        <f>SUM('Cuenta total'!H4:H23,'Cuenta total'!S4:S23,'Cuenta total'!AF4:AF23,'Cuenta total'!AO4:AO23)</f>
        <v>4</v>
      </c>
      <c r="F28" s="467"/>
      <c r="G28" s="522">
        <f>ROUNDUP(E28*1.05,0)</f>
        <v>5</v>
      </c>
      <c r="H28" s="522"/>
      <c r="I28" s="522"/>
      <c r="J28" s="7"/>
      <c r="K28" s="7"/>
      <c r="L28" s="7"/>
      <c r="M28" s="7"/>
      <c r="N28" s="7"/>
      <c r="O28" s="7"/>
      <c r="P28" s="7"/>
      <c r="Q28" s="7"/>
      <c r="R28" s="7"/>
      <c r="S28" s="7"/>
      <c r="T28" s="7"/>
      <c r="U28" s="7"/>
      <c r="V28" s="7"/>
      <c r="W28" s="7"/>
      <c r="X28" s="7"/>
      <c r="Y28" s="511"/>
      <c r="Z28" s="511"/>
      <c r="AA28" s="511"/>
      <c r="AB28" s="511"/>
      <c r="AC28" s="511"/>
      <c r="AD28" s="511"/>
      <c r="AE28" s="7"/>
      <c r="AF28" s="7"/>
      <c r="AG28" s="7"/>
      <c r="AH28" s="7"/>
      <c r="AI28" s="7"/>
      <c r="AJ28" s="7"/>
    </row>
    <row r="29" spans="1:40" ht="13.5" customHeight="1">
      <c r="A29" s="12" t="str">
        <f>'Sistema S Rail'!A23</f>
        <v>M00111</v>
      </c>
      <c r="B29" s="467" t="str">
        <f>'Sistema S Rail'!B23</f>
        <v xml:space="preserve">EJOT JF3-2-5.5x25 E16 </v>
      </c>
      <c r="C29" s="467"/>
      <c r="D29" s="467"/>
      <c r="E29" s="467">
        <f>IF('Datos de Proyecto'!P21=0,"",SUM('Cuenta total'!AP4:AP23))</f>
        <v>88</v>
      </c>
      <c r="F29" s="467"/>
      <c r="G29" s="522">
        <f>IFERROR(ROUNDUP(E29*1.05,0),"")</f>
        <v>93</v>
      </c>
      <c r="H29" s="522"/>
      <c r="I29" s="522"/>
      <c r="J29" s="7"/>
      <c r="K29" s="7"/>
      <c r="U29" s="7"/>
      <c r="V29" s="7"/>
      <c r="W29" s="7"/>
      <c r="X29" s="7"/>
      <c r="Y29" s="7"/>
      <c r="Z29" s="7"/>
      <c r="AA29" s="7"/>
      <c r="AB29" s="7"/>
      <c r="AC29" s="7"/>
      <c r="AD29" s="7"/>
      <c r="AE29" s="7"/>
      <c r="AF29" s="7"/>
      <c r="AG29" s="7"/>
      <c r="AH29" s="7"/>
      <c r="AI29" s="7"/>
      <c r="AJ29" s="7"/>
      <c r="AK29" s="7"/>
      <c r="AL29" s="7"/>
      <c r="AM29" s="7"/>
      <c r="AN29" s="7"/>
    </row>
    <row r="30" spans="1:40" ht="13.5" customHeight="1">
      <c r="A30" s="12" t="str" cm="1">
        <f t="array" ref="A30">IFERROR(_xlfn.IFS(B30="S-5! PROTEA II","M00200",B30="CORRUBRACKET","M00062", B30="S5! STD","M00061",B30="NOVOTEGRA M2 CLAMP","N00021",B30="NOVOTEGRA M1 CLAMP","N00022",B30="SET JT3-SB-3-8.0x85/50 FZD","M00151"),"-")</f>
        <v>-</v>
      </c>
      <c r="B30" s="467" t="str" cm="1">
        <f t="array" ref="B30">IFERROR(_xlfn.IFS('Datos de Proyecto'!D32="S-5! PROTEA II","S-5! PROTEA II",'Datos de Proyecto'!D32="S5! STD","S5! STD",'Datos de Proyecto'!D32="CORRUBRACKET","CORRUBRACKET",'Datos de Proyecto'!D32="NOVOTEGRA M1 CLAMP","NOVOTEGRA M1 CLAMP",'Datos de Proyecto'!D32="NOVOTEGRA M2 CLAMP","NOVOTEGRA M2 CLAMP",'Datos de Proyecto'!D32="SET JT3-SB-3-8.0x85/50","SET JT3-SB-3-8.0x85/50 FZD"),"-")</f>
        <v>-</v>
      </c>
      <c r="C30" s="467"/>
      <c r="D30" s="467"/>
      <c r="E30" s="467">
        <f>SUM('Cuenta total'!J4:J23,'Cuenta total'!U4:U23,'Cuenta total'!AH4:AH23)</f>
        <v>0</v>
      </c>
      <c r="F30" s="467"/>
      <c r="G30" s="522">
        <f>IFERROR(ROUNDUP(E30*1.05,0),"")</f>
        <v>0</v>
      </c>
      <c r="H30" s="522"/>
      <c r="I30" s="522"/>
      <c r="J30" s="7"/>
      <c r="K30" s="7"/>
      <c r="U30" s="7"/>
      <c r="V30" s="7"/>
      <c r="W30" s="7"/>
      <c r="X30" s="7"/>
      <c r="Y30" s="7"/>
      <c r="Z30" s="7"/>
      <c r="AA30" s="7"/>
      <c r="AB30" s="7"/>
      <c r="AC30" s="7"/>
      <c r="AD30" s="7"/>
      <c r="AE30" s="7"/>
      <c r="AF30" s="7"/>
      <c r="AG30" s="7"/>
      <c r="AH30" s="7"/>
      <c r="AI30" s="7"/>
      <c r="AJ30" s="7"/>
      <c r="AK30" s="7"/>
      <c r="AL30" s="7"/>
      <c r="AM30" s="7"/>
      <c r="AN30" s="7"/>
    </row>
    <row r="31" spans="1:40" ht="13.5" customHeight="1">
      <c r="A31" s="53" t="str">
        <f>IF(B31="M8-1.25 X 20MM BOLT","M00165","-")</f>
        <v>-</v>
      </c>
      <c r="B31" s="467" t="str">
        <f>IF('Datos de Proyecto'!D32="S-5! PROTEA II","-",IF('Datos de Proyecto'!D32="NOVOTEGRA M2 CLAMP","M8-1.25 X 20MM BOLT",IF('Datos de Proyecto'!D32="NOVOTEGRA M1 CLAMP","M8-1.25 X 20MM BOLT","-")))</f>
        <v>-</v>
      </c>
      <c r="C31" s="467"/>
      <c r="D31" s="467"/>
      <c r="E31" s="467">
        <f>IF('Datos de Proyecto'!D32="S-5! PROTEA II","",IF('Datos de Proyecto'!D32="CORRUBRACKET","",IF('Datos de Proyecto'!D32="SET JT3-SB-3-8.0X85/50","",SUM('Cuenta total'!J4:J23,'Cuenta total'!U4:U23,'Cuenta total'!AH4:AH23))))</f>
        <v>0</v>
      </c>
      <c r="F31" s="467"/>
      <c r="G31" s="522">
        <f>IFERROR(ROUNDUP(E31*1.05,0),"")</f>
        <v>0</v>
      </c>
      <c r="H31" s="522"/>
      <c r="I31" s="522"/>
      <c r="J31" s="7"/>
      <c r="K31" s="7"/>
      <c r="U31" s="7"/>
      <c r="V31" s="7"/>
      <c r="W31" s="7"/>
      <c r="X31" s="7"/>
      <c r="Y31" s="7"/>
      <c r="Z31" s="7"/>
      <c r="AA31" s="7"/>
      <c r="AB31" s="7"/>
      <c r="AC31" s="7"/>
      <c r="AD31" s="7"/>
      <c r="AE31" s="7"/>
      <c r="AF31" s="7"/>
      <c r="AG31" s="7"/>
      <c r="AH31" s="7"/>
      <c r="AI31" s="7"/>
      <c r="AJ31" s="7"/>
      <c r="AK31" s="7"/>
      <c r="AL31" s="7"/>
      <c r="AM31" s="7"/>
      <c r="AN31" s="7"/>
    </row>
    <row r="32" spans="1:40" ht="13.5" customHeight="1">
      <c r="A32" s="12" t="str">
        <f>IF('Datos de Proyecto'!$D$35="Sí","N00008",IF('Datos de Proyecto'!$D$32="S-5! PROTEA II","N00008","-"))</f>
        <v>-</v>
      </c>
      <c r="B32" s="467" t="str">
        <f>IF($A$32="N00008","N BOLT","-")</f>
        <v>-</v>
      </c>
      <c r="C32" s="467"/>
      <c r="D32" s="467"/>
      <c r="E32" s="467">
        <f>IF('Datos de Proyecto'!$D$35="NO",0,'Datos de Proyecto'!$D$36*2)+IF('Datos de Proyecto'!$D$32="S-5! PROTEA II",'Sistema Coplanar'!F21,0)</f>
        <v>0</v>
      </c>
      <c r="F32" s="467"/>
      <c r="G32" s="522">
        <f>IFERROR(ROUNDUP(E32*1.05,0),"")</f>
        <v>0</v>
      </c>
      <c r="H32" s="522"/>
      <c r="I32" s="522"/>
      <c r="J32" s="7"/>
      <c r="K32" s="7"/>
      <c r="U32" s="7"/>
      <c r="V32" s="7"/>
      <c r="W32" s="7"/>
      <c r="X32" s="7"/>
      <c r="Y32" s="7"/>
      <c r="Z32" s="7"/>
      <c r="AA32" s="7"/>
      <c r="AB32" s="7"/>
      <c r="AC32" s="7"/>
      <c r="AD32" s="7"/>
      <c r="AE32" s="7"/>
      <c r="AF32" s="7"/>
      <c r="AG32" s="7"/>
      <c r="AH32" s="7"/>
      <c r="AI32" s="7"/>
      <c r="AJ32" s="7"/>
      <c r="AK32" s="7"/>
      <c r="AL32" s="7"/>
      <c r="AM32" s="7"/>
      <c r="AN32" s="7"/>
    </row>
    <row r="33" spans="1:40" ht="13.5" customHeight="1">
      <c r="A33" s="12" t="str">
        <f>IF('Datos de Proyecto'!$D$35="Sí","N00010",IF('Datos de Proyecto'!D32="S-5! PROTEA II","N00010","-"))</f>
        <v>-</v>
      </c>
      <c r="B33" s="467" t="str">
        <f>IF($A$33="N00010","N NUT","-")</f>
        <v>-</v>
      </c>
      <c r="C33" s="467"/>
      <c r="D33" s="467"/>
      <c r="E33" s="467">
        <f>IF('Datos de Proyecto'!$D$35="NO",0,'Datos de Proyecto'!$D$36*2)+IF('Datos de Proyecto'!$D$32="S-5! PROTEA II",'Sistema Coplanar'!F21,0)</f>
        <v>0</v>
      </c>
      <c r="F33" s="467"/>
      <c r="G33" s="522">
        <f>IFERROR(ROUNDUP(E33*1.05,0),"")</f>
        <v>0</v>
      </c>
      <c r="H33" s="522"/>
      <c r="I33" s="522"/>
      <c r="J33" s="7"/>
      <c r="K33" s="7"/>
      <c r="U33" s="7"/>
      <c r="V33" s="7"/>
      <c r="W33" s="7"/>
      <c r="X33" s="7"/>
      <c r="Y33" s="7"/>
      <c r="Z33" s="7"/>
      <c r="AA33" s="7"/>
      <c r="AB33" s="7"/>
      <c r="AC33" s="7"/>
      <c r="AD33" s="7"/>
      <c r="AE33" s="7"/>
      <c r="AF33" s="7"/>
      <c r="AG33" s="7"/>
      <c r="AH33" s="7"/>
      <c r="AI33" s="7"/>
      <c r="AJ33" s="7"/>
      <c r="AK33" s="7"/>
      <c r="AL33" s="7"/>
      <c r="AM33" s="7"/>
      <c r="AN33" s="7"/>
    </row>
    <row r="34" spans="1:40" ht="13.5" customHeight="1">
      <c r="A34" s="7"/>
      <c r="B34" s="7"/>
      <c r="D34" s="9"/>
      <c r="I34" s="7"/>
      <c r="J34" s="7"/>
      <c r="K34" s="7"/>
      <c r="U34" s="7"/>
      <c r="V34" s="7"/>
      <c r="W34" s="7"/>
      <c r="X34" s="7"/>
      <c r="Y34" s="7"/>
      <c r="Z34" s="7"/>
      <c r="AA34" s="7"/>
      <c r="AB34" s="7"/>
      <c r="AC34" s="7"/>
      <c r="AD34" s="7"/>
      <c r="AE34" s="7"/>
      <c r="AF34" s="7"/>
      <c r="AG34" s="7"/>
      <c r="AH34" s="7"/>
      <c r="AI34" s="7"/>
      <c r="AJ34" s="7"/>
      <c r="AK34" s="7"/>
      <c r="AL34" s="7"/>
      <c r="AM34" s="7"/>
      <c r="AN34" s="7"/>
    </row>
    <row r="35" spans="1:40" ht="13.5" customHeight="1">
      <c r="A35" s="7"/>
      <c r="B35" s="7"/>
      <c r="D35" s="9"/>
      <c r="I35" s="7"/>
      <c r="J35" s="7"/>
      <c r="K35" s="7"/>
      <c r="U35" s="7"/>
      <c r="V35" s="7"/>
      <c r="W35" s="7"/>
      <c r="X35" s="7"/>
      <c r="Y35" s="7"/>
      <c r="Z35" s="7"/>
      <c r="AA35" s="7"/>
      <c r="AB35" s="7"/>
      <c r="AC35" s="7"/>
      <c r="AD35" s="7"/>
      <c r="AE35" s="7"/>
      <c r="AF35" s="7"/>
      <c r="AG35" s="7"/>
      <c r="AH35" s="7"/>
      <c r="AI35" s="7"/>
      <c r="AJ35" s="7"/>
      <c r="AK35" s="7"/>
      <c r="AL35" s="7"/>
      <c r="AM35" s="7"/>
      <c r="AN35" s="7"/>
    </row>
    <row r="36" spans="1:40" ht="13.5" customHeight="1">
      <c r="A36" s="7"/>
      <c r="B36" s="7"/>
      <c r="D36" s="9"/>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row>
    <row r="37" spans="1:40" ht="13.5" customHeight="1">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row>
    <row r="38" spans="1:40" ht="13.5" customHeight="1">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row>
    <row r="39" spans="1:40" ht="13.5" customHeight="1">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row>
    <row r="40" spans="1:40" ht="13.5" customHeight="1">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row>
    <row r="41" spans="1:40" ht="13.5" customHeight="1">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row>
    <row r="42" spans="1:40" ht="13.5" customHeight="1">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row>
    <row r="43" spans="1:40" ht="13.5" customHeight="1">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row>
    <row r="44" spans="1:40" ht="13.5" customHeight="1">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row>
    <row r="45" spans="1:40" ht="13.5" customHeight="1">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row>
    <row r="46" spans="1:40" ht="13.5" customHeight="1">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row>
    <row r="47" spans="1:40" ht="13.5" customHeight="1">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row>
    <row r="48" spans="1:40" ht="13.5" customHeight="1">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row>
    <row r="49" spans="9:24" ht="13.5" customHeight="1">
      <c r="I49" s="7"/>
      <c r="J49" s="7"/>
      <c r="K49" s="7"/>
      <c r="L49" s="7"/>
      <c r="M49" s="7"/>
      <c r="N49" s="7"/>
      <c r="O49" s="7"/>
      <c r="P49" s="7"/>
      <c r="Q49" s="7"/>
      <c r="R49" s="7"/>
      <c r="S49" s="7"/>
      <c r="T49" s="7"/>
      <c r="U49" s="7"/>
      <c r="V49" s="7"/>
      <c r="W49" s="7"/>
      <c r="X49" s="7"/>
    </row>
    <row r="50" spans="9:24">
      <c r="I50" s="7"/>
      <c r="J50" s="7"/>
      <c r="K50" s="7"/>
      <c r="L50" s="7"/>
      <c r="M50" s="7"/>
      <c r="N50" s="7"/>
      <c r="O50" s="7"/>
      <c r="P50" s="7"/>
      <c r="Q50" s="7"/>
      <c r="R50" s="7"/>
      <c r="S50" s="7"/>
      <c r="T50" s="7"/>
      <c r="U50" s="7"/>
      <c r="V50" s="7"/>
      <c r="W50" s="7"/>
      <c r="X50" s="7"/>
    </row>
    <row r="51" spans="9:24">
      <c r="I51" s="7"/>
      <c r="J51" s="7"/>
      <c r="K51" s="7"/>
      <c r="L51" s="7"/>
      <c r="M51" s="7"/>
      <c r="N51" s="7"/>
      <c r="O51" s="7"/>
      <c r="P51" s="7"/>
      <c r="Q51" s="7"/>
      <c r="R51" s="7"/>
      <c r="S51" s="7"/>
      <c r="T51" s="7"/>
      <c r="U51" s="7"/>
      <c r="V51" s="7"/>
      <c r="W51" s="7"/>
      <c r="X51" s="7"/>
    </row>
    <row r="52" spans="9:24">
      <c r="J52" s="7"/>
      <c r="K52" s="7"/>
      <c r="L52" s="7"/>
      <c r="M52" s="7"/>
      <c r="N52" s="7"/>
      <c r="O52" s="7"/>
      <c r="P52" s="7"/>
      <c r="Q52" s="7"/>
      <c r="R52" s="7"/>
      <c r="S52" s="7"/>
      <c r="T52" s="7"/>
      <c r="U52" s="7"/>
      <c r="V52" s="7"/>
      <c r="W52" s="7"/>
      <c r="X52" s="7"/>
    </row>
  </sheetData>
  <sheetProtection algorithmName="SHA-512" hashValue="uEG4K1CYJ75FSZ8DXpNX0hVlZrwD0gAkV8QsW3Dbc7xQaURfmb6ZVbpeZ3darBUYww3aD15WXPw2VfPUx2tO5Q==" saltValue="nwTxiun8xyJOTGtGX+bDUA==" spinCount="100000" sheet="1" selectLockedCells="1" selectUnlockedCells="1"/>
  <mergeCells count="54">
    <mergeCell ref="A17:A18"/>
    <mergeCell ref="B17:D18"/>
    <mergeCell ref="E17:F18"/>
    <mergeCell ref="B32:D32"/>
    <mergeCell ref="B33:D33"/>
    <mergeCell ref="E32:F32"/>
    <mergeCell ref="E33:F33"/>
    <mergeCell ref="B31:D31"/>
    <mergeCell ref="E31:F31"/>
    <mergeCell ref="B21:D21"/>
    <mergeCell ref="E21:F21"/>
    <mergeCell ref="B25:D25"/>
    <mergeCell ref="E25:F25"/>
    <mergeCell ref="B24:D24"/>
    <mergeCell ref="E24:F24"/>
    <mergeCell ref="B27:D27"/>
    <mergeCell ref="G32:I32"/>
    <mergeCell ref="G33:I33"/>
    <mergeCell ref="C5:D5"/>
    <mergeCell ref="C3:G3"/>
    <mergeCell ref="A3:B3"/>
    <mergeCell ref="E30:F30"/>
    <mergeCell ref="E29:F29"/>
    <mergeCell ref="B22:D22"/>
    <mergeCell ref="E22:F22"/>
    <mergeCell ref="A14:I15"/>
    <mergeCell ref="G17:I18"/>
    <mergeCell ref="B20:D20"/>
    <mergeCell ref="E20:F20"/>
    <mergeCell ref="G27:I27"/>
    <mergeCell ref="G20:I20"/>
    <mergeCell ref="G24:I24"/>
    <mergeCell ref="E27:F27"/>
    <mergeCell ref="G31:I31"/>
    <mergeCell ref="G21:I21"/>
    <mergeCell ref="G25:I25"/>
    <mergeCell ref="Y28:AD28"/>
    <mergeCell ref="E23:F23"/>
    <mergeCell ref="B30:D30"/>
    <mergeCell ref="B29:D29"/>
    <mergeCell ref="G29:I29"/>
    <mergeCell ref="G30:I30"/>
    <mergeCell ref="B28:D28"/>
    <mergeCell ref="E28:F28"/>
    <mergeCell ref="G28:I28"/>
    <mergeCell ref="B26:D26"/>
    <mergeCell ref="E26:F26"/>
    <mergeCell ref="G26:I26"/>
    <mergeCell ref="G19:I19"/>
    <mergeCell ref="G22:I22"/>
    <mergeCell ref="G23:I23"/>
    <mergeCell ref="B23:D23"/>
    <mergeCell ref="B19:D19"/>
    <mergeCell ref="E19:F19"/>
  </mergeCells>
  <phoneticPr fontId="53" type="noConversion"/>
  <pageMargins left="0.7" right="0.7" top="0.75" bottom="0.75" header="0.3" footer="0.3"/>
  <pageSetup scale="96" orientation="portrait" r:id="rId1"/>
  <headerFooter>
    <oddHeader>&amp;L&amp;G&amp;C&amp;"BayWa Sans Book,Negrita"&amp;16&amp;K278C46BOM TOTAL&amp;R&amp;"BayWa Sans Book,Normal"&amp;D
&amp;T</oddHeader>
    <oddFooter>&amp;R&amp;P</oddFooter>
  </headerFooter>
  <ignoredErrors>
    <ignoredError sqref="G21" formula="1"/>
  </ignoredError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59EB6-EF7A-4773-9353-D9F46CA47A11}">
  <sheetPr codeName="Hoja12"/>
  <dimension ref="A1:B17"/>
  <sheetViews>
    <sheetView zoomScale="43" workbookViewId="0">
      <selection activeCell="J4" sqref="J4"/>
    </sheetView>
  </sheetViews>
  <sheetFormatPr defaultColWidth="11.453125" defaultRowHeight="14.5"/>
  <cols>
    <col min="1" max="1" width="20.81640625" bestFit="1" customWidth="1"/>
    <col min="2" max="2" width="151.1796875" customWidth="1"/>
    <col min="9" max="9" width="18.1796875" bestFit="1" customWidth="1"/>
    <col min="10" max="10" width="42.81640625" customWidth="1"/>
  </cols>
  <sheetData>
    <row r="1" spans="1:2">
      <c r="A1" s="91" t="s">
        <v>147</v>
      </c>
      <c r="B1" s="91" t="s">
        <v>148</v>
      </c>
    </row>
    <row r="2" spans="1:2" ht="278.5" customHeight="1">
      <c r="A2" s="112" t="s">
        <v>149</v>
      </c>
      <c r="B2" s="91"/>
    </row>
    <row r="3" spans="1:2" ht="278.25" customHeight="1">
      <c r="A3" s="112" t="s">
        <v>150</v>
      </c>
    </row>
    <row r="4" spans="1:2" ht="278.25" customHeight="1">
      <c r="A4" s="112" t="s">
        <v>151</v>
      </c>
    </row>
    <row r="5" spans="1:2" ht="278.25" customHeight="1">
      <c r="A5" s="112" t="s">
        <v>152</v>
      </c>
    </row>
    <row r="6" spans="1:2" ht="278.25" customHeight="1">
      <c r="A6" s="112" t="s">
        <v>153</v>
      </c>
    </row>
    <row r="7" spans="1:2" ht="278.25" customHeight="1">
      <c r="A7" s="112" t="s">
        <v>154</v>
      </c>
    </row>
    <row r="8" spans="1:2" ht="278.25" customHeight="1">
      <c r="A8" s="112" t="s">
        <v>155</v>
      </c>
    </row>
    <row r="9" spans="1:2" ht="278.25" customHeight="1">
      <c r="A9" s="112"/>
    </row>
    <row r="10" spans="1:2" ht="278.25" customHeight="1">
      <c r="A10" s="112"/>
    </row>
    <row r="11" spans="1:2" ht="278.25" customHeight="1">
      <c r="A11" s="112"/>
    </row>
    <row r="12" spans="1:2" ht="278.14999999999998" customHeight="1">
      <c r="A12" s="112"/>
    </row>
    <row r="13" spans="1:2" ht="278.14999999999998" customHeight="1">
      <c r="A13" s="112"/>
    </row>
    <row r="14" spans="1:2" ht="146.5" customHeight="1">
      <c r="A14" s="112"/>
    </row>
    <row r="15" spans="1:2">
      <c r="A15" s="112"/>
    </row>
    <row r="16" spans="1:2">
      <c r="A16" s="143"/>
    </row>
    <row r="17" spans="1:1">
      <c r="A17" s="143"/>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D94E9-E7CE-4D0D-BD2C-545372670244}">
  <sheetPr codeName="Hoja15"/>
  <dimension ref="B2:P47"/>
  <sheetViews>
    <sheetView showZeros="0" workbookViewId="0">
      <selection activeCell="B19" sqref="B19:E20"/>
    </sheetView>
  </sheetViews>
  <sheetFormatPr defaultColWidth="11.453125" defaultRowHeight="14.5"/>
  <cols>
    <col min="1" max="1" width="11.453125" style="7"/>
    <col min="2" max="2" width="20.1796875" style="7" bestFit="1" customWidth="1"/>
    <col min="3" max="3" width="19" style="7" bestFit="1" customWidth="1"/>
    <col min="4" max="4" width="15.81640625" style="7" bestFit="1" customWidth="1"/>
    <col min="5" max="5" width="16.81640625" style="7" customWidth="1"/>
    <col min="6" max="6" width="11.453125" style="7"/>
    <col min="7" max="7" width="37.81640625" style="7" bestFit="1" customWidth="1"/>
    <col min="8" max="8" width="21" style="7" customWidth="1"/>
    <col min="9" max="9" width="11.453125" style="7"/>
    <col min="10" max="10" width="20.1796875" style="7" bestFit="1" customWidth="1"/>
    <col min="11" max="11" width="19" style="7" bestFit="1" customWidth="1"/>
    <col min="12" max="12" width="20.453125" style="7" bestFit="1" customWidth="1"/>
    <col min="13" max="13" width="13" style="7" bestFit="1" customWidth="1"/>
    <col min="14" max="14" width="11.453125" style="7"/>
    <col min="15" max="15" width="27.81640625" style="7" bestFit="1" customWidth="1"/>
    <col min="16" max="16" width="12.81640625" style="7" customWidth="1"/>
    <col min="17" max="16384" width="11.453125" style="7"/>
  </cols>
  <sheetData>
    <row r="2" spans="2:8">
      <c r="B2" s="551" t="s">
        <v>156</v>
      </c>
      <c r="C2" s="552"/>
      <c r="D2" s="552"/>
      <c r="E2" s="553"/>
    </row>
    <row r="3" spans="2:8">
      <c r="B3" s="554"/>
      <c r="C3" s="555"/>
      <c r="D3" s="555"/>
      <c r="E3" s="556"/>
    </row>
    <row r="4" spans="2:8">
      <c r="B4" s="139" t="s">
        <v>157</v>
      </c>
      <c r="C4" s="140" t="s">
        <v>83</v>
      </c>
      <c r="D4" s="140" t="s">
        <v>158</v>
      </c>
      <c r="E4" s="141" t="s">
        <v>159</v>
      </c>
      <c r="G4" s="134" t="s">
        <v>160</v>
      </c>
      <c r="H4" s="135">
        <f>'Datos de Proyecto'!U15</f>
        <v>40</v>
      </c>
    </row>
    <row r="5" spans="2:8">
      <c r="B5" s="131" t="s">
        <v>161</v>
      </c>
      <c r="C5" s="142">
        <f>'Despiece Total'!E19</f>
        <v>0</v>
      </c>
      <c r="D5" s="124">
        <v>3.28</v>
      </c>
      <c r="E5" s="125">
        <f>C5*D5</f>
        <v>0</v>
      </c>
      <c r="G5" s="134" t="s">
        <v>162</v>
      </c>
      <c r="H5" s="135">
        <f>'Datos de Proyecto'!D24</f>
        <v>615</v>
      </c>
    </row>
    <row r="6" spans="2:8">
      <c r="B6" s="132" t="s">
        <v>163</v>
      </c>
      <c r="C6" s="126">
        <f>'Despiece Total'!E20</f>
        <v>42</v>
      </c>
      <c r="D6" s="127">
        <v>2.27</v>
      </c>
      <c r="E6" s="128">
        <f t="shared" ref="E6:E17" si="0">C6*D6</f>
        <v>95.34</v>
      </c>
      <c r="G6" s="134" t="s">
        <v>164</v>
      </c>
      <c r="H6" s="136">
        <f>H5*H4</f>
        <v>24600</v>
      </c>
    </row>
    <row r="7" spans="2:8">
      <c r="B7" s="131" t="s">
        <v>165</v>
      </c>
      <c r="C7" s="126">
        <f>'Despiece Total'!E21</f>
        <v>12</v>
      </c>
      <c r="D7" s="124">
        <v>2.93</v>
      </c>
      <c r="E7" s="125">
        <f t="shared" si="0"/>
        <v>35.160000000000004</v>
      </c>
      <c r="G7" s="134" t="s">
        <v>166</v>
      </c>
      <c r="H7" s="137">
        <f>SUM(E5:E17)</f>
        <v>778.40000000000009</v>
      </c>
    </row>
    <row r="8" spans="2:8">
      <c r="B8" s="132" t="s">
        <v>167</v>
      </c>
      <c r="C8" s="126">
        <f>'Despiece Total'!E22</f>
        <v>22</v>
      </c>
      <c r="D8" s="127">
        <v>4.28</v>
      </c>
      <c r="E8" s="128">
        <f t="shared" si="0"/>
        <v>94.160000000000011</v>
      </c>
      <c r="G8" s="134" t="s">
        <v>168</v>
      </c>
      <c r="H8" s="137">
        <f>IFERROR(H7/H4,"")</f>
        <v>19.46</v>
      </c>
    </row>
    <row r="9" spans="2:8">
      <c r="B9" s="132" t="s">
        <v>169</v>
      </c>
      <c r="C9" s="126">
        <f>'Despiece Total'!E23</f>
        <v>16</v>
      </c>
      <c r="D9" s="124">
        <v>1.9</v>
      </c>
      <c r="E9" s="125">
        <f t="shared" si="0"/>
        <v>30.4</v>
      </c>
      <c r="G9" s="134" t="s">
        <v>170</v>
      </c>
      <c r="H9" s="137">
        <f>IFERROR(H7/H6,"")</f>
        <v>3.164227642276423E-2</v>
      </c>
    </row>
    <row r="10" spans="2:8">
      <c r="B10" s="131" t="s">
        <v>171</v>
      </c>
      <c r="C10" s="123">
        <f>'Despiece Total'!E24</f>
        <v>72</v>
      </c>
      <c r="D10" s="127">
        <v>1.7</v>
      </c>
      <c r="E10" s="128">
        <f t="shared" si="0"/>
        <v>122.39999999999999</v>
      </c>
    </row>
    <row r="11" spans="2:8">
      <c r="B11" s="132" t="s">
        <v>172</v>
      </c>
      <c r="C11" s="126">
        <f>'Despiece Total'!E25</f>
        <v>0</v>
      </c>
      <c r="D11" s="124">
        <v>1.53</v>
      </c>
      <c r="E11" s="125">
        <f t="shared" si="0"/>
        <v>0</v>
      </c>
    </row>
    <row r="12" spans="2:8">
      <c r="B12" s="132" t="s">
        <v>173</v>
      </c>
      <c r="C12" s="126">
        <f>'Despiece Total'!E26</f>
        <v>12</v>
      </c>
      <c r="D12" s="127">
        <v>0.79</v>
      </c>
      <c r="E12" s="128">
        <f>IFERROR(C12*D12,0)</f>
        <v>9.48</v>
      </c>
    </row>
    <row r="13" spans="2:8">
      <c r="B13" s="132" t="s">
        <v>174</v>
      </c>
      <c r="C13" s="126">
        <f>'Despiece Total'!E27</f>
        <v>15</v>
      </c>
      <c r="D13" s="124">
        <v>21.98</v>
      </c>
      <c r="E13" s="125">
        <f t="shared" si="0"/>
        <v>329.7</v>
      </c>
    </row>
    <row r="14" spans="2:8">
      <c r="B14" s="131" t="s">
        <v>175</v>
      </c>
      <c r="C14" s="142">
        <f>'Despiece Total'!E28</f>
        <v>4</v>
      </c>
      <c r="D14" s="127">
        <v>2.9</v>
      </c>
      <c r="E14" s="128">
        <f t="shared" si="0"/>
        <v>11.6</v>
      </c>
    </row>
    <row r="15" spans="2:8">
      <c r="B15" s="132" t="s">
        <v>176</v>
      </c>
      <c r="C15" s="126">
        <f>'Despiece Total'!E29</f>
        <v>88</v>
      </c>
      <c r="D15" s="127">
        <v>0.56999999999999995</v>
      </c>
      <c r="E15" s="128">
        <f t="shared" si="0"/>
        <v>50.16</v>
      </c>
    </row>
    <row r="16" spans="2:8">
      <c r="B16" s="132" cm="1">
        <f t="array" ref="B16">IFERROR(_xlfn.IFS('Datos de Proyecto'!D32="ProteaBracket","PROTEA BRACKET",'Datos de Proyecto'!D32="S5! STD","S5! STD",'Datos de Proyecto'!D32="Corrubracket","CorruBracket",'Datos de Proyecto'!D32="S5! MX MINI NB","S5! Mx Mini NB",'Datos de Proyecto'!D32="S5! MX NB","S5! Mx NB",'Datos de Proyecto'!D32="JT3-SB-3-8.0x85/50","Set JT3-SB-3-8.0x85/50 FZD"),0)</f>
        <v>0</v>
      </c>
      <c r="C16" s="126">
        <f>IF(B16&lt;&gt;"",'Despiece Total'!E30,"")</f>
        <v>0</v>
      </c>
      <c r="D16" s="127">
        <v>3.5</v>
      </c>
      <c r="E16" s="128">
        <f t="shared" si="0"/>
        <v>0</v>
      </c>
    </row>
    <row r="17" spans="2:16">
      <c r="B17" s="132">
        <f>IF('Datos de Proyecto'!D32="ProteaBracket","N BOLT &amp; N NUT",IF('Datos de Proyecto'!D32="S5! MX NB","M8-1.25 X 20MM BOLT",IF('Datos de Proyecto'!D32="S5! MX MINI NB","M8-1.25 X 20MM BOLT",0)))</f>
        <v>0</v>
      </c>
      <c r="C17" s="126">
        <f>IF(B17&lt;&gt;"",'Despiece Total'!E31,"")</f>
        <v>0</v>
      </c>
      <c r="D17" s="127">
        <v>1</v>
      </c>
      <c r="E17" s="128">
        <f t="shared" si="0"/>
        <v>0</v>
      </c>
    </row>
    <row r="18" spans="2:16" ht="17.5" customHeight="1">
      <c r="J18" s="118"/>
      <c r="K18" s="47"/>
      <c r="L18" s="47"/>
      <c r="M18" s="47"/>
    </row>
    <row r="19" spans="2:16" ht="15" customHeight="1">
      <c r="B19" s="551" t="s">
        <v>177</v>
      </c>
      <c r="C19" s="552"/>
      <c r="D19" s="552"/>
      <c r="E19" s="553"/>
      <c r="J19" s="551" t="s">
        <v>178</v>
      </c>
      <c r="K19" s="552"/>
      <c r="L19" s="552"/>
      <c r="M19" s="553"/>
    </row>
    <row r="20" spans="2:16" ht="15" customHeight="1">
      <c r="B20" s="557"/>
      <c r="C20" s="558"/>
      <c r="D20" s="558"/>
      <c r="E20" s="559"/>
      <c r="J20" s="557"/>
      <c r="K20" s="558"/>
      <c r="L20" s="558"/>
      <c r="M20" s="559"/>
    </row>
    <row r="21" spans="2:16" ht="15" customHeight="1">
      <c r="B21" s="119" t="s">
        <v>157</v>
      </c>
      <c r="C21" s="120" t="s">
        <v>83</v>
      </c>
      <c r="D21" s="120" t="s">
        <v>158</v>
      </c>
      <c r="E21" s="121" t="s">
        <v>159</v>
      </c>
      <c r="G21" s="134" t="s">
        <v>160</v>
      </c>
      <c r="H21" s="135">
        <f>'Datos de Proyecto'!G42</f>
        <v>30</v>
      </c>
      <c r="J21" s="115" t="s">
        <v>157</v>
      </c>
      <c r="K21" s="116" t="s">
        <v>83</v>
      </c>
      <c r="L21" s="116" t="s">
        <v>158</v>
      </c>
      <c r="M21" s="117" t="s">
        <v>159</v>
      </c>
      <c r="O21" s="134" t="s">
        <v>160</v>
      </c>
      <c r="P21" s="135">
        <f>'Datos de Proyecto'!M42</f>
        <v>0</v>
      </c>
    </row>
    <row r="22" spans="2:16">
      <c r="B22" s="122" t="s">
        <v>163</v>
      </c>
      <c r="C22" s="142">
        <f>'Sistema Coplanar'!F14</f>
        <v>42</v>
      </c>
      <c r="D22" s="124">
        <f>D6</f>
        <v>2.27</v>
      </c>
      <c r="E22" s="125">
        <f>C22*D22</f>
        <v>95.34</v>
      </c>
      <c r="G22" s="134" t="s">
        <v>162</v>
      </c>
      <c r="H22" s="136">
        <f>'Datos de Proyecto'!D24</f>
        <v>615</v>
      </c>
      <c r="J22" s="131" t="s">
        <v>161</v>
      </c>
      <c r="K22" s="123">
        <f>'Sistema Dos filas'!F15</f>
        <v>0</v>
      </c>
      <c r="L22" s="124">
        <f>D5</f>
        <v>3.28</v>
      </c>
      <c r="M22" s="125">
        <f>K22*L22</f>
        <v>0</v>
      </c>
      <c r="O22" s="134" t="s">
        <v>162</v>
      </c>
      <c r="P22" s="136">
        <f>'Datos de Proyecto'!D24</f>
        <v>615</v>
      </c>
    </row>
    <row r="23" spans="2:16">
      <c r="B23" s="122" t="s">
        <v>165</v>
      </c>
      <c r="C23" s="142">
        <f>'Sistema Coplanar'!F15</f>
        <v>12</v>
      </c>
      <c r="D23" s="127">
        <f>D7</f>
        <v>2.93</v>
      </c>
      <c r="E23" s="128">
        <f>C23*D23</f>
        <v>35.160000000000004</v>
      </c>
      <c r="G23" s="134" t="s">
        <v>164</v>
      </c>
      <c r="H23" s="136">
        <f>H22*H21</f>
        <v>18450</v>
      </c>
      <c r="J23" s="132" t="s">
        <v>163</v>
      </c>
      <c r="K23" s="126">
        <f>'Sistema Dos filas'!F16</f>
        <v>0</v>
      </c>
      <c r="L23" s="127">
        <f>D6</f>
        <v>2.27</v>
      </c>
      <c r="M23" s="128">
        <f t="shared" ref="M23:M32" si="1">K23*L23</f>
        <v>0</v>
      </c>
      <c r="O23" s="134" t="s">
        <v>164</v>
      </c>
      <c r="P23" s="136">
        <f>P22*P21</f>
        <v>0</v>
      </c>
    </row>
    <row r="24" spans="2:16">
      <c r="B24" s="122" t="s">
        <v>169</v>
      </c>
      <c r="C24" s="126">
        <f>'Sistema Coplanar'!F16</f>
        <v>12</v>
      </c>
      <c r="D24" s="124">
        <f>D9</f>
        <v>1.9</v>
      </c>
      <c r="E24" s="125">
        <f t="shared" ref="E24:E30" si="2">C24*D24</f>
        <v>22.799999999999997</v>
      </c>
      <c r="G24" s="134" t="s">
        <v>166</v>
      </c>
      <c r="H24" s="137">
        <f>SUM(E22:E30)</f>
        <v>592.98</v>
      </c>
      <c r="J24" s="131" t="s">
        <v>165</v>
      </c>
      <c r="K24" s="123">
        <f>'Sistema Dos filas'!F17</f>
        <v>0</v>
      </c>
      <c r="L24" s="124">
        <f>D7</f>
        <v>2.93</v>
      </c>
      <c r="M24" s="125">
        <f t="shared" si="1"/>
        <v>0</v>
      </c>
      <c r="O24" s="134" t="s">
        <v>166</v>
      </c>
      <c r="P24" s="137" t="e">
        <f>SUM(M22:M32)</f>
        <v>#VALUE!</v>
      </c>
    </row>
    <row r="25" spans="2:16">
      <c r="B25" s="129" t="s">
        <v>171</v>
      </c>
      <c r="C25" s="142">
        <f>'Sistema Coplanar'!F17</f>
        <v>54</v>
      </c>
      <c r="D25" s="127">
        <f>D10</f>
        <v>1.7</v>
      </c>
      <c r="E25" s="130">
        <f t="shared" si="2"/>
        <v>91.8</v>
      </c>
      <c r="G25" s="134" t="s">
        <v>168</v>
      </c>
      <c r="H25" s="137">
        <f>IFERROR(H24/H21,"")</f>
        <v>19.766000000000002</v>
      </c>
      <c r="J25" s="132" t="s">
        <v>169</v>
      </c>
      <c r="K25" s="126">
        <f>'Sistema Dos filas'!F18</f>
        <v>0</v>
      </c>
      <c r="L25" s="127">
        <f t="shared" ref="L25:L30" si="3">D9</f>
        <v>1.9</v>
      </c>
      <c r="M25" s="128">
        <f t="shared" si="1"/>
        <v>0</v>
      </c>
      <c r="O25" s="134" t="s">
        <v>168</v>
      </c>
      <c r="P25" s="137" t="str">
        <f>IFERROR(P24/P21,"")</f>
        <v/>
      </c>
    </row>
    <row r="26" spans="2:16">
      <c r="B26" s="122" t="s">
        <v>173</v>
      </c>
      <c r="C26" s="126">
        <f>'Sistema Coplanar'!F18</f>
        <v>12</v>
      </c>
      <c r="D26" s="127">
        <f>D12</f>
        <v>0.79</v>
      </c>
      <c r="E26" s="130">
        <f>IFERROR(C26*D26,0)</f>
        <v>9.48</v>
      </c>
      <c r="G26" s="134" t="s">
        <v>179</v>
      </c>
      <c r="H26" s="168">
        <f>IFERROR(H24/H23,"")</f>
        <v>3.2139837398373984E-2</v>
      </c>
      <c r="J26" s="131" t="s">
        <v>171</v>
      </c>
      <c r="K26" s="123">
        <f>'Sistema Dos filas'!F19</f>
        <v>0</v>
      </c>
      <c r="L26" s="124">
        <f t="shared" si="3"/>
        <v>1.7</v>
      </c>
      <c r="M26" s="125">
        <f t="shared" si="1"/>
        <v>0</v>
      </c>
      <c r="O26" s="134" t="s">
        <v>180</v>
      </c>
      <c r="P26" s="168" t="str">
        <f>IFERROR(P24/P23,"")</f>
        <v/>
      </c>
    </row>
    <row r="27" spans="2:16">
      <c r="B27" s="131" t="s">
        <v>174</v>
      </c>
      <c r="C27" s="142">
        <f>'Sistema Coplanar'!F19</f>
        <v>15</v>
      </c>
      <c r="D27" s="127">
        <f>D13</f>
        <v>21.98</v>
      </c>
      <c r="E27" s="130">
        <f t="shared" si="2"/>
        <v>329.7</v>
      </c>
      <c r="J27" s="132" t="s">
        <v>172</v>
      </c>
      <c r="K27" s="126">
        <f>'Sistema Dos filas'!F20</f>
        <v>0</v>
      </c>
      <c r="L27" s="127">
        <f t="shared" si="3"/>
        <v>1.53</v>
      </c>
      <c r="M27" s="128">
        <f t="shared" si="1"/>
        <v>0</v>
      </c>
    </row>
    <row r="28" spans="2:16">
      <c r="B28" s="122" t="s">
        <v>175</v>
      </c>
      <c r="C28" s="123">
        <f>'Sistema Coplanar'!F20</f>
        <v>3</v>
      </c>
      <c r="D28" s="127">
        <f>D14</f>
        <v>2.9</v>
      </c>
      <c r="E28" s="130">
        <f t="shared" si="2"/>
        <v>8.6999999999999993</v>
      </c>
      <c r="J28" s="132" t="s">
        <v>173</v>
      </c>
      <c r="K28" s="126">
        <f>'Sistema Dos filas'!F21</f>
        <v>0</v>
      </c>
      <c r="L28" s="124">
        <f t="shared" si="3"/>
        <v>0.79</v>
      </c>
      <c r="M28" s="125">
        <f>IFERROR(K28*L28,0)</f>
        <v>0</v>
      </c>
    </row>
    <row r="29" spans="2:16">
      <c r="B29" s="132" cm="1">
        <f t="array" ref="B29">IFERROR(_xlfn.IFS('Datos de Proyecto'!D32="ProteaBracket","PROTEA BRACKET",'Datos de Proyecto'!D32="S5! STD","S5! STD",'Datos de Proyecto'!D32="Corrubracket","CorruBracket",'Datos de Proyecto'!D32="S5! MX MINI NB","S5! Mx Mini NB",'Datos de Proyecto'!D32="S5! MX NB","S5! Mx NB",'Datos de Proyecto'!D32="JT3-SB-3-8.0x85/50","Set JT3-SB-3-8.0x85/50 FZD"),0)</f>
        <v>0</v>
      </c>
      <c r="C29" s="126">
        <f>IF(B29&lt;&gt;"",'Sistema Coplanar'!F21,"")</f>
        <v>0</v>
      </c>
      <c r="D29" s="127">
        <f>D16</f>
        <v>3.5</v>
      </c>
      <c r="E29" s="130">
        <f>C29*D29</f>
        <v>0</v>
      </c>
      <c r="J29" s="132" t="s">
        <v>174</v>
      </c>
      <c r="K29" s="126">
        <f>'Sistema Dos filas'!F22</f>
        <v>0</v>
      </c>
      <c r="L29" s="127">
        <f t="shared" si="3"/>
        <v>21.98</v>
      </c>
      <c r="M29" s="128">
        <f>K29*L29</f>
        <v>0</v>
      </c>
    </row>
    <row r="30" spans="2:16">
      <c r="B30" s="132">
        <f>IF('Datos de Proyecto'!D32="ProteaBracket","N BOLT &amp; N NUT",IF('Datos de Proyecto'!D32="S5! MX NB","M8-1.25 X 20MM BOLT",IF('Datos de Proyecto'!D32="S5! MX MINI NB","M8-1.25 X 20MM BOLT",0)))</f>
        <v>0</v>
      </c>
      <c r="C30" s="126">
        <f>IF(B30&lt;&gt;"",'Sistema Coplanar'!F22,"")</f>
        <v>0</v>
      </c>
      <c r="D30" s="127">
        <f>D17</f>
        <v>1</v>
      </c>
      <c r="E30" s="130">
        <f t="shared" si="2"/>
        <v>0</v>
      </c>
      <c r="J30" s="131" t="s">
        <v>175</v>
      </c>
      <c r="K30" s="126">
        <f>'Sistema Dos filas'!F23</f>
        <v>0</v>
      </c>
      <c r="L30" s="127">
        <f t="shared" si="3"/>
        <v>2.9</v>
      </c>
      <c r="M30" s="128">
        <f t="shared" si="1"/>
        <v>0</v>
      </c>
    </row>
    <row r="31" spans="2:16">
      <c r="J31" s="132" cm="1">
        <f t="array" ref="J31">IFERROR(_xlfn.IFS('Datos de Proyecto'!D32="ProteaBracket","PROTEA BRACKET",'Datos de Proyecto'!D32="S5! STD","S5! STD",'Datos de Proyecto'!D32="Corrubracket","CorruBracket",'Datos de Proyecto'!D32="S5! MX MINI NB","S5! Mx Mini NB",'Datos de Proyecto'!D32="S5! MX NB","S5! Mx NB",'Datos de Proyecto'!D32="JT3-SB-3-8.0x85/50","Set JT3-SB-3-8.0x85/50 FZD"),0)</f>
        <v>0</v>
      </c>
      <c r="K31" s="126" t="str">
        <f>IF(J31&lt;&gt;"",'Sistema Dos filas'!F24,"")</f>
        <v/>
      </c>
      <c r="L31" s="127">
        <f>D16</f>
        <v>3.5</v>
      </c>
      <c r="M31" s="128" t="e">
        <f t="shared" si="1"/>
        <v>#VALUE!</v>
      </c>
    </row>
    <row r="32" spans="2:16">
      <c r="J32" s="132">
        <f>IF('Datos de Proyecto'!D32="ProteaBracket","N BOLT &amp; N NUT",IF('Datos de Proyecto'!D32="S5! MX NB","M8-1.25 X 20MM BOLT",IF('Datos de Proyecto'!D32="S5! MX MINI NB","M8-1.25 X 20MM BOLT",0)))</f>
        <v>0</v>
      </c>
      <c r="K32" s="126">
        <f>IF(J32&lt;&gt;"",'Sistema Dos filas'!F25,0)</f>
        <v>0</v>
      </c>
      <c r="L32" s="127">
        <f>D17</f>
        <v>1</v>
      </c>
      <c r="M32" s="128">
        <f t="shared" si="1"/>
        <v>0</v>
      </c>
    </row>
    <row r="33" spans="2:16" ht="15" customHeight="1">
      <c r="C33" s="47"/>
      <c r="D33" s="47"/>
      <c r="E33" s="47"/>
      <c r="K33" s="47"/>
      <c r="L33" s="47"/>
      <c r="M33" s="47"/>
    </row>
    <row r="34" spans="2:16" ht="15" customHeight="1">
      <c r="B34" s="551" t="s">
        <v>181</v>
      </c>
      <c r="C34" s="552"/>
      <c r="D34" s="552"/>
      <c r="E34" s="553"/>
      <c r="J34" s="551" t="s">
        <v>182</v>
      </c>
      <c r="K34" s="552"/>
      <c r="L34" s="552"/>
      <c r="M34" s="553"/>
    </row>
    <row r="35" spans="2:16" ht="15" customHeight="1">
      <c r="B35" s="557"/>
      <c r="C35" s="558"/>
      <c r="D35" s="558"/>
      <c r="E35" s="559"/>
      <c r="J35" s="557"/>
      <c r="K35" s="558"/>
      <c r="L35" s="558"/>
      <c r="M35" s="559"/>
    </row>
    <row r="36" spans="2:16">
      <c r="B36" s="119" t="s">
        <v>157</v>
      </c>
      <c r="C36" s="120" t="s">
        <v>83</v>
      </c>
      <c r="D36" s="120" t="s">
        <v>158</v>
      </c>
      <c r="E36" s="121" t="s">
        <v>159</v>
      </c>
      <c r="G36" s="134" t="s">
        <v>160</v>
      </c>
      <c r="H36" s="135">
        <f>'Datos de Proyecto'!J42</f>
        <v>0</v>
      </c>
      <c r="J36" s="119" t="s">
        <v>157</v>
      </c>
      <c r="K36" s="120" t="s">
        <v>83</v>
      </c>
      <c r="L36" s="120" t="s">
        <v>158</v>
      </c>
      <c r="M36" s="121" t="s">
        <v>159</v>
      </c>
      <c r="O36" s="134" t="s">
        <v>160</v>
      </c>
      <c r="P36" s="135">
        <f>'Datos de Proyecto'!P42</f>
        <v>10</v>
      </c>
    </row>
    <row r="37" spans="2:16">
      <c r="B37" s="131" t="s">
        <v>161</v>
      </c>
      <c r="C37" s="123">
        <f>'Sistema Una fila'!F14</f>
        <v>0</v>
      </c>
      <c r="D37" s="133">
        <f>D5</f>
        <v>3.28</v>
      </c>
      <c r="E37" s="125">
        <f>C37*D37</f>
        <v>0</v>
      </c>
      <c r="G37" s="134" t="s">
        <v>162</v>
      </c>
      <c r="H37" s="136">
        <f>'Datos de Proyecto'!D24</f>
        <v>615</v>
      </c>
      <c r="J37" s="132" t="s">
        <v>167</v>
      </c>
      <c r="K37" s="126">
        <f>'Sistema S Rail'!F20</f>
        <v>22</v>
      </c>
      <c r="L37" s="127">
        <f>D8</f>
        <v>4.28</v>
      </c>
      <c r="M37" s="128">
        <f t="shared" ref="M37:M41" si="4">K37*L37</f>
        <v>94.160000000000011</v>
      </c>
      <c r="O37" s="134" t="s">
        <v>162</v>
      </c>
      <c r="P37" s="136">
        <f>'Datos de Proyecto'!D24</f>
        <v>615</v>
      </c>
    </row>
    <row r="38" spans="2:16">
      <c r="B38" s="132" t="s">
        <v>163</v>
      </c>
      <c r="C38" s="126">
        <f>'Sistema Una fila'!F15</f>
        <v>0</v>
      </c>
      <c r="D38" s="124">
        <f t="shared" ref="D38:D39" si="5">D6</f>
        <v>2.27</v>
      </c>
      <c r="E38" s="128">
        <f t="shared" ref="E38:E47" si="6">C38*D38</f>
        <v>0</v>
      </c>
      <c r="G38" s="134" t="s">
        <v>164</v>
      </c>
      <c r="H38" s="136">
        <f>H37*H36</f>
        <v>0</v>
      </c>
      <c r="J38" s="132" t="s">
        <v>176</v>
      </c>
      <c r="K38" s="126">
        <f>'Sistema S Rail'!F23</f>
        <v>88</v>
      </c>
      <c r="L38" s="127">
        <f>D15</f>
        <v>0.56999999999999995</v>
      </c>
      <c r="M38" s="128">
        <f t="shared" si="4"/>
        <v>50.16</v>
      </c>
      <c r="O38" s="134" t="s">
        <v>164</v>
      </c>
      <c r="P38" s="136">
        <f>P37*P36</f>
        <v>6150</v>
      </c>
    </row>
    <row r="39" spans="2:16">
      <c r="B39" s="131" t="s">
        <v>165</v>
      </c>
      <c r="C39" s="123">
        <f>'Sistema Una fila'!F16</f>
        <v>0</v>
      </c>
      <c r="D39" s="127">
        <f t="shared" si="5"/>
        <v>2.93</v>
      </c>
      <c r="E39" s="125">
        <f t="shared" si="6"/>
        <v>0</v>
      </c>
      <c r="G39" s="134" t="s">
        <v>166</v>
      </c>
      <c r="H39" s="137" t="e">
        <f>SUM(E37:E47)</f>
        <v>#VALUE!</v>
      </c>
      <c r="J39" s="132" t="s">
        <v>169</v>
      </c>
      <c r="K39" s="123">
        <f>'Sistema S Rail'!F21</f>
        <v>4</v>
      </c>
      <c r="L39" s="124">
        <f>D9</f>
        <v>1.9</v>
      </c>
      <c r="M39" s="125">
        <f t="shared" si="4"/>
        <v>7.6</v>
      </c>
      <c r="O39" s="134" t="s">
        <v>166</v>
      </c>
      <c r="P39" s="137">
        <f>SUM(M37:M45)</f>
        <v>185.42</v>
      </c>
    </row>
    <row r="40" spans="2:16">
      <c r="B40" s="132" t="s">
        <v>169</v>
      </c>
      <c r="C40" s="126">
        <f>'Sistema Una fila'!F17</f>
        <v>0</v>
      </c>
      <c r="D40" s="127">
        <f>D9</f>
        <v>1.9</v>
      </c>
      <c r="E40" s="128">
        <f t="shared" si="6"/>
        <v>0</v>
      </c>
      <c r="G40" s="134" t="s">
        <v>168</v>
      </c>
      <c r="H40" s="138" t="str">
        <f>IFERROR(H39/H36,"")</f>
        <v/>
      </c>
      <c r="J40" s="131" t="s">
        <v>171</v>
      </c>
      <c r="K40" s="126">
        <f>'Sistema S Rail'!F22</f>
        <v>18</v>
      </c>
      <c r="L40" s="127">
        <f>D10</f>
        <v>1.7</v>
      </c>
      <c r="M40" s="128">
        <f t="shared" si="4"/>
        <v>30.599999999999998</v>
      </c>
      <c r="O40" s="134" t="s">
        <v>168</v>
      </c>
      <c r="P40" s="137">
        <f>IFERROR(P39/P36,"")</f>
        <v>18.541999999999998</v>
      </c>
    </row>
    <row r="41" spans="2:16">
      <c r="B41" s="131" t="s">
        <v>171</v>
      </c>
      <c r="C41" s="123">
        <f>'Sistema Una fila'!F18</f>
        <v>0</v>
      </c>
      <c r="D41" s="127">
        <f t="shared" ref="D41:D45" si="7">D10</f>
        <v>1.7</v>
      </c>
      <c r="E41" s="125">
        <f t="shared" si="6"/>
        <v>0</v>
      </c>
      <c r="G41" s="134" t="s">
        <v>183</v>
      </c>
      <c r="H41" s="168" t="str">
        <f>IFERROR(H39/H38,"")</f>
        <v/>
      </c>
      <c r="J41" s="132" t="s">
        <v>175</v>
      </c>
      <c r="K41" s="126">
        <f>'Sistema S Rail'!F24</f>
        <v>1</v>
      </c>
      <c r="L41" s="127">
        <f>D14</f>
        <v>2.9</v>
      </c>
      <c r="M41" s="128">
        <f t="shared" si="4"/>
        <v>2.9</v>
      </c>
      <c r="O41" s="134" t="s">
        <v>184</v>
      </c>
      <c r="P41" s="137">
        <f>IFERROR(P39/P38,"")</f>
        <v>3.0149593495934959E-2</v>
      </c>
    </row>
    <row r="42" spans="2:16">
      <c r="B42" s="132" t="s">
        <v>172</v>
      </c>
      <c r="C42" s="126">
        <f>'Sistema Una fila'!F19</f>
        <v>0</v>
      </c>
      <c r="D42" s="127">
        <f t="shared" si="7"/>
        <v>1.53</v>
      </c>
      <c r="E42" s="128">
        <f t="shared" si="6"/>
        <v>0</v>
      </c>
      <c r="I42" s="268"/>
      <c r="J42" s="131"/>
    </row>
    <row r="43" spans="2:16">
      <c r="B43" s="132" t="s">
        <v>173</v>
      </c>
      <c r="C43" s="126">
        <f>'Sistema Una fila'!F20</f>
        <v>0</v>
      </c>
      <c r="D43" s="127">
        <f t="shared" si="7"/>
        <v>0.79</v>
      </c>
      <c r="E43" s="125">
        <f>IFERROR(C43*D43,0)</f>
        <v>0</v>
      </c>
    </row>
    <row r="44" spans="2:16">
      <c r="B44" s="132" t="s">
        <v>174</v>
      </c>
      <c r="C44" s="126">
        <f>'Sistema Una fila'!F21</f>
        <v>0</v>
      </c>
      <c r="D44" s="127">
        <f t="shared" si="7"/>
        <v>21.98</v>
      </c>
      <c r="E44" s="128">
        <f>C44*D44</f>
        <v>0</v>
      </c>
    </row>
    <row r="45" spans="2:16">
      <c r="B45" s="131" t="s">
        <v>175</v>
      </c>
      <c r="C45" s="126">
        <f>'Sistema Una fila'!F22</f>
        <v>0</v>
      </c>
      <c r="D45" s="127">
        <f t="shared" si="7"/>
        <v>2.9</v>
      </c>
      <c r="E45" s="128">
        <f t="shared" si="6"/>
        <v>0</v>
      </c>
    </row>
    <row r="46" spans="2:16">
      <c r="B46" s="132" cm="1">
        <f t="array" ref="B46">IFERROR(_xlfn.IFS('Datos de Proyecto'!D32="ProteaBracket","PROTEA BRACKET",'Datos de Proyecto'!D32="S5! STD","S5! STD",'Datos de Proyecto'!D32="Corrubracket","CorruBracket",'Datos de Proyecto'!D32="S5! MX MINI NB","S5! Mx Mini NB",'Datos de Proyecto'!D32="S5! MX NB","S5! Mx NB",'Datos de Proyecto'!D32="JT3-SB-3-8.0x85/50","Set JT3-SB-3-8.0x85/50 FZD"),0)</f>
        <v>0</v>
      </c>
      <c r="C46" s="126" t="str">
        <f>IF(B46&lt;&gt;"",'Sistema Una fila'!F23,"")</f>
        <v/>
      </c>
      <c r="D46" s="127">
        <f>D16</f>
        <v>3.5</v>
      </c>
      <c r="E46" s="128" t="e">
        <f t="shared" si="6"/>
        <v>#VALUE!</v>
      </c>
      <c r="G46" s="7">
        <f>IF(B29&lt;&gt;"",'Sistema Coplanar'!F21,"")</f>
        <v>0</v>
      </c>
    </row>
    <row r="47" spans="2:16">
      <c r="B47" s="132">
        <f>IF('Datos de Proyecto'!D32="ProteaBracket","N BOLT &amp; N NUT",IF('Datos de Proyecto'!D32="S5! MX NB","M8-1.25 X 20MM BOLT",IF('Datos de Proyecto'!D32="S5! MX MINI NB","M8-1.25 X 20MM BOLT",0)))</f>
        <v>0</v>
      </c>
      <c r="C47" s="126">
        <f>IF(B47&lt;&gt;"",'Sistema Una fila'!F24,"")</f>
        <v>0</v>
      </c>
      <c r="D47" s="127">
        <f>D17</f>
        <v>1</v>
      </c>
      <c r="E47" s="128">
        <f t="shared" si="6"/>
        <v>0</v>
      </c>
    </row>
  </sheetData>
  <mergeCells count="5">
    <mergeCell ref="B2:E3"/>
    <mergeCell ref="B19:E20"/>
    <mergeCell ref="J34:M35"/>
    <mergeCell ref="J19:M20"/>
    <mergeCell ref="B34:E35"/>
  </mergeCells>
  <conditionalFormatting sqref="B16:B17">
    <cfRule type="expression" dxfId="4" priority="7">
      <formula>$B$16=0</formula>
    </cfRule>
  </conditionalFormatting>
  <conditionalFormatting sqref="B29:B30">
    <cfRule type="expression" dxfId="3" priority="5">
      <formula>$B$16=0</formula>
    </cfRule>
  </conditionalFormatting>
  <conditionalFormatting sqref="B46:B47">
    <cfRule type="expression" dxfId="2" priority="3">
      <formula>$B$16=0</formula>
    </cfRule>
  </conditionalFormatting>
  <conditionalFormatting sqref="J31:J32">
    <cfRule type="expression" dxfId="1" priority="1">
      <formula>$B$16=0</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8D5DB0281C5545985F23D19BBE2B78" ma:contentTypeVersion="15" ma:contentTypeDescription="Create a new document." ma:contentTypeScope="" ma:versionID="3413532c62987e32d38f52260345fb20">
  <xsd:schema xmlns:xsd="http://www.w3.org/2001/XMLSchema" xmlns:xs="http://www.w3.org/2001/XMLSchema" xmlns:p="http://schemas.microsoft.com/office/2006/metadata/properties" xmlns:ns2="c6db597d-789f-4cde-b6ce-ce925bdd0401" xmlns:ns3="c765d349-8e70-4077-bf9e-a4196eb01585" targetNamespace="http://schemas.microsoft.com/office/2006/metadata/properties" ma:root="true" ma:fieldsID="2f8b4d55b155d586e8e0b88312a612ee" ns2:_="" ns3:_="">
    <xsd:import namespace="c6db597d-789f-4cde-b6ce-ce925bdd0401"/>
    <xsd:import namespace="c765d349-8e70-4077-bf9e-a4196eb0158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ObjectDetectorVersions"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b597d-789f-4cde-b6ce-ce925bdd04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672bf6e-e923-46e3-8ab0-51e7db781b75"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65d349-8e70-4077-bf9e-a4196eb0158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097fa9-d598-4ef9-8147-69e1a252717c}" ma:internalName="TaxCatchAll" ma:showField="CatchAllData" ma:web="c765d349-8e70-4077-bf9e-a4196eb0158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db597d-789f-4cde-b6ce-ce925bdd0401">
      <Terms xmlns="http://schemas.microsoft.com/office/infopath/2007/PartnerControls"/>
    </lcf76f155ced4ddcb4097134ff3c332f>
    <TaxCatchAll xmlns="c765d349-8e70-4077-bf9e-a4196eb01585" xsi:nil="true"/>
  </documentManagement>
</p:properties>
</file>

<file path=customXml/itemProps1.xml><?xml version="1.0" encoding="utf-8"?>
<ds:datastoreItem xmlns:ds="http://schemas.openxmlformats.org/officeDocument/2006/customXml" ds:itemID="{FF30A68C-6510-4792-8CD2-E3CE48853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b597d-789f-4cde-b6ce-ce925bdd0401"/>
    <ds:schemaRef ds:uri="c765d349-8e70-4077-bf9e-a4196eb015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6ED4EB-2FEE-44FC-AC0C-51E9BDFD6028}">
  <ds:schemaRefs>
    <ds:schemaRef ds:uri="http://schemas.microsoft.com/sharepoint/v3/contenttype/forms"/>
  </ds:schemaRefs>
</ds:datastoreItem>
</file>

<file path=customXml/itemProps3.xml><?xml version="1.0" encoding="utf-8"?>
<ds:datastoreItem xmlns:ds="http://schemas.openxmlformats.org/officeDocument/2006/customXml" ds:itemID="{63A59993-3568-4DF8-83A4-4F1C146A07B0}">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c765d349-8e70-4077-bf9e-a4196eb01585"/>
    <ds:schemaRef ds:uri="http://purl.org/dc/dcmitype/"/>
    <ds:schemaRef ds:uri="http://purl.org/dc/terms/"/>
    <ds:schemaRef ds:uri="c6db597d-789f-4cde-b6ce-ce925bdd0401"/>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7d2e3671-1384-4d79-8faa-ad7daaf77d91}" enabled="1" method="Privileged" siteId="{c5d35081-d88e-4d27-8c32-8cc2e4c61c1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11</vt:i4>
      </vt:variant>
    </vt:vector>
  </HeadingPairs>
  <TitlesOfParts>
    <vt:vector size="30" baseType="lpstr">
      <vt:lpstr>Manual de Usuario</vt:lpstr>
      <vt:lpstr>Datos de Proyecto</vt:lpstr>
      <vt:lpstr>Sistema Coplanar</vt:lpstr>
      <vt:lpstr>Sistema Una fila</vt:lpstr>
      <vt:lpstr>Sistema Dos filas</vt:lpstr>
      <vt:lpstr>Sistema S Rail</vt:lpstr>
      <vt:lpstr>Despiece Total</vt:lpstr>
      <vt:lpstr>Imagenes </vt:lpstr>
      <vt:lpstr>Análisis de costo</vt:lpstr>
      <vt:lpstr>Velocidades de viento</vt:lpstr>
      <vt:lpstr>Hoja de ingenieria 1 Fila</vt:lpstr>
      <vt:lpstr>Zona A</vt:lpstr>
      <vt:lpstr>Zona B</vt:lpstr>
      <vt:lpstr>Zona C</vt:lpstr>
      <vt:lpstr>Zona D</vt:lpstr>
      <vt:lpstr>Span 2 Filas</vt:lpstr>
      <vt:lpstr>Cuenta total</vt:lpstr>
      <vt:lpstr>Formula de apoyo</vt:lpstr>
      <vt:lpstr>Calculo de Span</vt:lpstr>
      <vt:lpstr>cnt</vt:lpstr>
      <vt:lpstr>mail</vt:lpstr>
      <vt:lpstr>nm</vt:lpstr>
      <vt:lpstr>potencias</vt:lpstr>
      <vt:lpstr>'Despiece Total'!Print_Area</vt:lpstr>
      <vt:lpstr>'Sistema Coplanar'!Print_Area</vt:lpstr>
      <vt:lpstr>'Sistema Dos filas'!Print_Area</vt:lpstr>
      <vt:lpstr>'Sistema S Rail'!Print_Area</vt:lpstr>
      <vt:lpstr>'Sistema Una fila'!Print_Area</vt:lpstr>
      <vt:lpstr>ZonaA</vt:lpstr>
      <vt:lpstr>ZonaA1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Rios</dc:creator>
  <cp:keywords/>
  <dc:description/>
  <cp:lastModifiedBy>Pedro Rivas</cp:lastModifiedBy>
  <cp:revision/>
  <cp:lastPrinted>2025-07-17T20:27:54Z</cp:lastPrinted>
  <dcterms:created xsi:type="dcterms:W3CDTF">2021-01-19T15:32:03Z</dcterms:created>
  <dcterms:modified xsi:type="dcterms:W3CDTF">2025-09-09T15:52:21Z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0x010100628D5DB0281C5545985F23D19BBE2B78</vt:lpwstr>
  </property>
  <property fmtid="{D5CDD505-2E9C-101B-9397-08002B2CF9AE}" pid="3" name="MediaServiceImageTags">
    <vt:lpwstr/>
  </property>
</Properties>
</file>